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D:\Flow Consulting Dropbox\B_ Flow Operations\B_ Jobs\J001322 - AHSCA Website\12. Calculations\"/>
    </mc:Choice>
  </mc:AlternateContent>
  <xr:revisionPtr revIDLastSave="0" documentId="8_{AF99D963-2FB3-4DB0-A492-1BA1524BC3AF}" xr6:coauthVersionLast="47" xr6:coauthVersionMax="47" xr10:uidLastSave="{00000000-0000-0000-0000-000000000000}"/>
  <workbookProtection workbookAlgorithmName="SHA-512" workbookHashValue="qicy0LPhaxj5nF62mtFz9Z+sEbI+Ri6pwvbDMF8kb32exgynEy1qrr2A7agehaoOkHEsre6SnTZVyBHptODsEA==" workbookSaltValue="1iJWXNY8QSD7hnge/CtXcw==" workbookSpinCount="100000" lockStructure="1"/>
  <bookViews>
    <workbookView xWindow="25080" yWindow="-120" windowWidth="57840" windowHeight="32040" xr2:uid="{00000000-000D-0000-FFFF-FFFF00000000}"/>
  </bookViews>
  <sheets>
    <sheet name="Main Menu" sheetId="1" r:id="rId1"/>
    <sheet name="Sizes &amp; Dimensions" sheetId="2" r:id="rId2"/>
    <sheet name="Sections &amp; Orifice" sheetId="9" r:id="rId3"/>
    <sheet name="DP Settings" sheetId="4" state="hidden" r:id="rId4"/>
    <sheet name="Tank set out lookup" sheetId="8" r:id="rId5"/>
    <sheet name="Tank Matching" sheetId="5" r:id="rId6"/>
  </sheets>
  <definedNames>
    <definedName name="Tank_Matching">'Main Menu'!$B$11</definedName>
    <definedName name="Tank_Sections_and_Orifice_Calculation">'Main Menu'!$B$7</definedName>
    <definedName name="Tank_Set_out_lookup">'Main Menu'!$B$9</definedName>
    <definedName name="Tank_Sizes__Dimensions___Buoyancy">'Main Menu'!$B$5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1" i="9" l="1"/>
  <c r="K31" i="9" s="1"/>
  <c r="I28" i="9"/>
  <c r="K28" i="9" s="1"/>
  <c r="AE23" i="4"/>
  <c r="AD23" i="4"/>
  <c r="AC23" i="4"/>
  <c r="AE21" i="4"/>
  <c r="AD21" i="4"/>
  <c r="AC21" i="4"/>
  <c r="AE19" i="4"/>
  <c r="AD19" i="4"/>
  <c r="AC19" i="4"/>
  <c r="AE17" i="4"/>
  <c r="AD17" i="4"/>
  <c r="AC17" i="4"/>
  <c r="AE13" i="4"/>
  <c r="AD13" i="4"/>
  <c r="AC13" i="4"/>
  <c r="AE11" i="4"/>
  <c r="AD11" i="4"/>
  <c r="AC11" i="4"/>
  <c r="AE7" i="4"/>
  <c r="AD7" i="4"/>
  <c r="AC7" i="4"/>
  <c r="AE5" i="4"/>
  <c r="AD5" i="4"/>
  <c r="AC5" i="4"/>
  <c r="K34" i="9"/>
  <c r="K29" i="9"/>
  <c r="F14" i="2" l="1"/>
  <c r="E10" i="2"/>
  <c r="D17" i="2"/>
  <c r="H7" i="9"/>
  <c r="L2" i="9"/>
  <c r="L2" i="2"/>
  <c r="N4" i="5"/>
  <c r="M3" i="5"/>
  <c r="G4" i="5"/>
  <c r="F3" i="5"/>
  <c r="N16" i="5"/>
  <c r="G16" i="5"/>
  <c r="O29" i="2" l="1"/>
  <c r="N29" i="2"/>
  <c r="M29" i="2"/>
  <c r="L29" i="2"/>
  <c r="J29" i="2"/>
  <c r="H29" i="2"/>
  <c r="D7" i="2"/>
  <c r="E7" i="2"/>
  <c r="I29" i="2" s="1"/>
  <c r="M16" i="2"/>
  <c r="G99" i="4" s="1"/>
  <c r="M15" i="2"/>
  <c r="G98" i="4" s="1"/>
  <c r="M14" i="2"/>
  <c r="G97" i="4" s="1"/>
  <c r="M13" i="2"/>
  <c r="G96" i="4" s="1"/>
  <c r="F13" i="2"/>
  <c r="G4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M7" i="9"/>
  <c r="L7" i="9"/>
  <c r="K7" i="9"/>
  <c r="F7" i="9"/>
  <c r="E7" i="9"/>
  <c r="D7" i="9"/>
  <c r="I12" i="9" s="1"/>
  <c r="H4" i="9"/>
  <c r="J12" i="9" l="1"/>
  <c r="G29" i="2"/>
  <c r="C7" i="9"/>
  <c r="C151" i="4"/>
  <c r="C156" i="4"/>
  <c r="B157" i="4"/>
  <c r="C157" i="4" s="1"/>
  <c r="B152" i="4"/>
  <c r="C152" i="4" s="1"/>
  <c r="B158" i="4"/>
  <c r="C158" i="4" s="1"/>
  <c r="B153" i="4"/>
  <c r="C153" i="4" s="1"/>
  <c r="D18" i="8"/>
  <c r="C18" i="8"/>
  <c r="D17" i="8"/>
  <c r="C17" i="8"/>
  <c r="D16" i="8"/>
  <c r="C16" i="8"/>
  <c r="D15" i="8"/>
  <c r="C15" i="8"/>
  <c r="D14" i="8"/>
  <c r="C14" i="8"/>
  <c r="D13" i="8"/>
  <c r="C13" i="8"/>
  <c r="D12" i="8"/>
  <c r="D26" i="8" s="1"/>
  <c r="C12" i="8"/>
  <c r="C27" i="8" s="1"/>
  <c r="D11" i="8"/>
  <c r="C11" i="8"/>
  <c r="D10" i="8"/>
  <c r="C10" i="8"/>
  <c r="D9" i="8"/>
  <c r="C9" i="8"/>
  <c r="D8" i="8"/>
  <c r="C8" i="8"/>
  <c r="D7" i="8"/>
  <c r="C7" i="8"/>
  <c r="D6" i="8"/>
  <c r="C6" i="8"/>
  <c r="D5" i="8"/>
  <c r="C5" i="8"/>
  <c r="D27" i="8" l="1"/>
  <c r="C26" i="8"/>
  <c r="B21" i="2"/>
  <c r="D21" i="2"/>
  <c r="C4" i="5"/>
  <c r="J42" i="5"/>
  <c r="K42" i="5" s="1"/>
  <c r="J41" i="5"/>
  <c r="K41" i="5" s="1"/>
  <c r="J13" i="5"/>
  <c r="J15" i="5" s="1"/>
  <c r="J40" i="5"/>
  <c r="J39" i="5"/>
  <c r="K39" i="5" s="1"/>
  <c r="J38" i="5"/>
  <c r="J37" i="5"/>
  <c r="K37" i="5" s="1"/>
  <c r="J36" i="5"/>
  <c r="J35" i="5"/>
  <c r="K35" i="5" s="1"/>
  <c r="J34" i="5"/>
  <c r="J33" i="5"/>
  <c r="K33" i="5" s="1"/>
  <c r="J32" i="5"/>
  <c r="J31" i="5"/>
  <c r="K31" i="5" s="1"/>
  <c r="J30" i="5"/>
  <c r="J29" i="5"/>
  <c r="K29" i="5" s="1"/>
  <c r="J28" i="5"/>
  <c r="J27" i="5"/>
  <c r="K27" i="5" s="1"/>
  <c r="J26" i="5"/>
  <c r="K26" i="5" s="1"/>
  <c r="J25" i="5"/>
  <c r="K25" i="5" s="1"/>
  <c r="J24" i="5"/>
  <c r="J23" i="5"/>
  <c r="K23" i="5" s="1"/>
  <c r="J22" i="5"/>
  <c r="J21" i="5"/>
  <c r="K21" i="5" s="1"/>
  <c r="J20" i="5"/>
  <c r="K20" i="5" s="1"/>
  <c r="J19" i="5"/>
  <c r="K19" i="5" s="1"/>
  <c r="C42" i="5"/>
  <c r="D42" i="5" s="1"/>
  <c r="C41" i="5"/>
  <c r="D41" i="5" s="1"/>
  <c r="C40" i="5"/>
  <c r="C39" i="5"/>
  <c r="D39" i="5" s="1"/>
  <c r="C38" i="5"/>
  <c r="C37" i="5"/>
  <c r="D37" i="5" s="1"/>
  <c r="C36" i="5"/>
  <c r="C35" i="5"/>
  <c r="D35" i="5" s="1"/>
  <c r="C34" i="5"/>
  <c r="C33" i="5"/>
  <c r="D33" i="5" s="1"/>
  <c r="C32" i="5"/>
  <c r="D32" i="5" s="1"/>
  <c r="C31" i="5"/>
  <c r="D31" i="5" s="1"/>
  <c r="C30" i="5"/>
  <c r="C29" i="5"/>
  <c r="D29" i="5" s="1"/>
  <c r="C28" i="5"/>
  <c r="C27" i="5"/>
  <c r="D27" i="5" s="1"/>
  <c r="C26" i="5"/>
  <c r="D26" i="5" s="1"/>
  <c r="C25" i="5"/>
  <c r="D25" i="5" s="1"/>
  <c r="C24" i="5"/>
  <c r="C23" i="5"/>
  <c r="D23" i="5" s="1"/>
  <c r="C22" i="5"/>
  <c r="C21" i="5"/>
  <c r="D21" i="5" s="1"/>
  <c r="C20" i="5"/>
  <c r="D20" i="5" s="1"/>
  <c r="C19" i="5"/>
  <c r="D19" i="5" s="1"/>
  <c r="C13" i="5"/>
  <c r="C15" i="5" s="1"/>
  <c r="J9" i="5"/>
  <c r="J10" i="5" s="1"/>
  <c r="C9" i="5"/>
  <c r="C10" i="5" s="1"/>
  <c r="J4" i="5"/>
  <c r="J7" i="5"/>
  <c r="C7" i="5"/>
  <c r="E114" i="4"/>
  <c r="E113" i="4"/>
  <c r="E112" i="4"/>
  <c r="E111" i="4"/>
  <c r="E32" i="5" l="1"/>
  <c r="L32" i="5" s="1"/>
  <c r="E33" i="5"/>
  <c r="L33" i="5" s="1"/>
  <c r="E19" i="5"/>
  <c r="L19" i="5" s="1"/>
  <c r="E20" i="5"/>
  <c r="L20" i="5" s="1"/>
  <c r="E29" i="5"/>
  <c r="L29" i="5" s="1"/>
  <c r="E39" i="5"/>
  <c r="L39" i="5" s="1"/>
  <c r="E35" i="5"/>
  <c r="L35" i="5" s="1"/>
  <c r="E27" i="5"/>
  <c r="L27" i="5" s="1"/>
  <c r="E37" i="5"/>
  <c r="L37" i="5" s="1"/>
  <c r="E26" i="5"/>
  <c r="L26" i="5" s="1"/>
  <c r="E41" i="5"/>
  <c r="L41" i="5" s="1"/>
  <c r="E21" i="5"/>
  <c r="L21" i="5" s="1"/>
  <c r="E25" i="5"/>
  <c r="L25" i="5" s="1"/>
  <c r="E42" i="5"/>
  <c r="L42" i="5" s="1"/>
  <c r="E23" i="5"/>
  <c r="L23" i="5" s="1"/>
  <c r="E31" i="5"/>
  <c r="L31" i="5" s="1"/>
  <c r="K32" i="5"/>
  <c r="J14" i="5"/>
  <c r="C14" i="5"/>
  <c r="D11" i="2"/>
  <c r="C99" i="4"/>
  <c r="C98" i="4"/>
  <c r="C97" i="4"/>
  <c r="C96" i="4"/>
  <c r="C100" i="4"/>
  <c r="D99" i="4"/>
  <c r="D98" i="4"/>
  <c r="D97" i="4"/>
  <c r="D96" i="4"/>
  <c r="H74" i="4"/>
  <c r="H71" i="4"/>
  <c r="B124" i="4"/>
  <c r="B64" i="4"/>
  <c r="B63" i="4"/>
  <c r="E99" i="4"/>
  <c r="E98" i="4"/>
  <c r="E97" i="4"/>
  <c r="E96" i="4"/>
  <c r="M6" i="4" l="1"/>
  <c r="M24" i="4"/>
  <c r="M22" i="4"/>
  <c r="M9" i="4"/>
  <c r="M8" i="4"/>
  <c r="M4" i="4"/>
  <c r="M20" i="4"/>
  <c r="M15" i="4"/>
  <c r="M2" i="4"/>
  <c r="M25" i="4"/>
  <c r="M16" i="4"/>
  <c r="M12" i="4"/>
  <c r="M18" i="4"/>
  <c r="M3" i="4"/>
  <c r="M14" i="4"/>
  <c r="M10" i="4"/>
  <c r="B65" i="4"/>
  <c r="C90" i="4"/>
  <c r="B76" i="4"/>
  <c r="B73" i="4"/>
  <c r="B199" i="4"/>
  <c r="B189" i="4"/>
  <c r="B176" i="4"/>
  <c r="B179" i="4" s="1"/>
  <c r="B97" i="4"/>
  <c r="D101" i="4" l="1"/>
  <c r="E146" i="4"/>
  <c r="B114" i="4"/>
  <c r="E115" i="4"/>
  <c r="B95" i="4"/>
  <c r="D100" i="4"/>
  <c r="B96" i="4"/>
  <c r="K3" i="4"/>
  <c r="K10" i="4"/>
  <c r="K6" i="4"/>
  <c r="K25" i="4"/>
  <c r="K14" i="4"/>
  <c r="K22" i="4"/>
  <c r="K12" i="4"/>
  <c r="G111" i="4" s="1"/>
  <c r="K2" i="4"/>
  <c r="K20" i="4"/>
  <c r="K18" i="4"/>
  <c r="C76" i="4"/>
  <c r="K15" i="4"/>
  <c r="K4" i="4"/>
  <c r="K9" i="4"/>
  <c r="K8" i="4"/>
  <c r="K16" i="4"/>
  <c r="K24" i="4"/>
  <c r="L12" i="4"/>
  <c r="L20" i="4"/>
  <c r="C73" i="4"/>
  <c r="L16" i="4"/>
  <c r="L6" i="4"/>
  <c r="L24" i="4"/>
  <c r="L14" i="4"/>
  <c r="L10" i="4"/>
  <c r="L25" i="4"/>
  <c r="L15" i="4"/>
  <c r="L4" i="4"/>
  <c r="L2" i="4"/>
  <c r="L8" i="4"/>
  <c r="L3" i="4"/>
  <c r="L22" i="4"/>
  <c r="L9" i="4"/>
  <c r="L18" i="4"/>
  <c r="B54" i="4"/>
  <c r="B48" i="4"/>
  <c r="A48" i="4" s="1"/>
  <c r="A45" i="4"/>
  <c r="B45" i="4"/>
  <c r="B58" i="4"/>
  <c r="B42" i="4"/>
  <c r="G142" i="4" s="1"/>
  <c r="H4" i="2"/>
  <c r="G4" i="2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G113" i="4" l="1"/>
  <c r="G114" i="4"/>
  <c r="G112" i="4"/>
  <c r="B107" i="4"/>
  <c r="D12" i="5"/>
  <c r="G145" i="4"/>
  <c r="G143" i="4"/>
  <c r="G144" i="4"/>
  <c r="M32" i="5"/>
  <c r="N32" i="5" s="1"/>
  <c r="I32" i="5" s="1"/>
  <c r="M20" i="5"/>
  <c r="N20" i="5" s="1"/>
  <c r="I20" i="5" s="1"/>
  <c r="F27" i="5"/>
  <c r="G27" i="5" s="1"/>
  <c r="B27" i="5" s="1"/>
  <c r="F20" i="5"/>
  <c r="G20" i="5" s="1"/>
  <c r="B20" i="5" s="1"/>
  <c r="F32" i="5"/>
  <c r="G32" i="5" s="1"/>
  <c r="B32" i="5" s="1"/>
  <c r="F42" i="5"/>
  <c r="G42" i="5" s="1"/>
  <c r="B42" i="5" s="1"/>
  <c r="F33" i="5"/>
  <c r="G33" i="5" s="1"/>
  <c r="B33" i="5" s="1"/>
  <c r="M39" i="5"/>
  <c r="N39" i="5" s="1"/>
  <c r="I39" i="5" s="1"/>
  <c r="F19" i="5"/>
  <c r="G19" i="5" s="1"/>
  <c r="B19" i="5" s="1"/>
  <c r="F29" i="5"/>
  <c r="G29" i="5" s="1"/>
  <c r="B29" i="5" s="1"/>
  <c r="M41" i="5"/>
  <c r="N41" i="5" s="1"/>
  <c r="I41" i="5" s="1"/>
  <c r="F26" i="5"/>
  <c r="G26" i="5" s="1"/>
  <c r="B26" i="5" s="1"/>
  <c r="F31" i="5"/>
  <c r="G31" i="5" s="1"/>
  <c r="B31" i="5" s="1"/>
  <c r="M23" i="5"/>
  <c r="N23" i="5" s="1"/>
  <c r="I23" i="5" s="1"/>
  <c r="M35" i="5"/>
  <c r="N35" i="5" s="1"/>
  <c r="I35" i="5" s="1"/>
  <c r="F41" i="5"/>
  <c r="G41" i="5" s="1"/>
  <c r="B41" i="5" s="1"/>
  <c r="M37" i="5"/>
  <c r="N37" i="5" s="1"/>
  <c r="I37" i="5" s="1"/>
  <c r="M42" i="5"/>
  <c r="N42" i="5" s="1"/>
  <c r="I42" i="5" s="1"/>
  <c r="F25" i="5"/>
  <c r="G25" i="5" s="1"/>
  <c r="B25" i="5" s="1"/>
  <c r="M25" i="5"/>
  <c r="N25" i="5" s="1"/>
  <c r="I25" i="5" s="1"/>
  <c r="M21" i="5"/>
  <c r="N21" i="5" s="1"/>
  <c r="I21" i="5" s="1"/>
  <c r="M31" i="5"/>
  <c r="N31" i="5" s="1"/>
  <c r="I31" i="5" s="1"/>
  <c r="M33" i="5"/>
  <c r="N33" i="5" s="1"/>
  <c r="I33" i="5" s="1"/>
  <c r="F35" i="5"/>
  <c r="G35" i="5" s="1"/>
  <c r="B35" i="5" s="1"/>
  <c r="F23" i="5"/>
  <c r="G23" i="5" s="1"/>
  <c r="B23" i="5" s="1"/>
  <c r="F39" i="5"/>
  <c r="G39" i="5" s="1"/>
  <c r="B39" i="5" s="1"/>
  <c r="F37" i="5"/>
  <c r="G37" i="5" s="1"/>
  <c r="B37" i="5" s="1"/>
  <c r="M27" i="5"/>
  <c r="N27" i="5" s="1"/>
  <c r="I27" i="5" s="1"/>
  <c r="F21" i="5"/>
  <c r="G21" i="5" s="1"/>
  <c r="B21" i="5" s="1"/>
  <c r="M26" i="5"/>
  <c r="N26" i="5" s="1"/>
  <c r="I26" i="5" s="1"/>
  <c r="M29" i="5"/>
  <c r="N29" i="5" s="1"/>
  <c r="I29" i="5" s="1"/>
  <c r="M19" i="5"/>
  <c r="N19" i="5" s="1"/>
  <c r="I19" i="5" s="1"/>
  <c r="B115" i="4"/>
  <c r="G146" i="4"/>
  <c r="B103" i="4"/>
  <c r="B104" i="4" s="1"/>
  <c r="B98" i="4"/>
  <c r="B109" i="4" s="1"/>
  <c r="B49" i="4"/>
  <c r="B50" i="4" s="1"/>
  <c r="I23" i="4"/>
  <c r="I21" i="4"/>
  <c r="I19" i="4"/>
  <c r="I17" i="4"/>
  <c r="I13" i="4"/>
  <c r="I11" i="4"/>
  <c r="I7" i="4"/>
  <c r="I5" i="4"/>
  <c r="H23" i="4"/>
  <c r="H21" i="4"/>
  <c r="H19" i="4"/>
  <c r="H17" i="4"/>
  <c r="H13" i="4"/>
  <c r="H11" i="4"/>
  <c r="H7" i="4"/>
  <c r="H5" i="4"/>
  <c r="G23" i="4"/>
  <c r="G21" i="4"/>
  <c r="G19" i="4"/>
  <c r="G17" i="4"/>
  <c r="G13" i="4"/>
  <c r="G11" i="4"/>
  <c r="G7" i="4"/>
  <c r="G5" i="4"/>
  <c r="B24" i="4"/>
  <c r="H7" i="2"/>
  <c r="M7" i="2"/>
  <c r="E17" i="2" s="1"/>
  <c r="L7" i="2"/>
  <c r="K7" i="2"/>
  <c r="B28" i="4" l="1"/>
  <c r="I7" i="9" s="1"/>
  <c r="J7" i="9" s="1"/>
  <c r="D24" i="2"/>
  <c r="M19" i="4"/>
  <c r="E36" i="5"/>
  <c r="L36" i="5" s="1"/>
  <c r="D28" i="5"/>
  <c r="K28" i="5"/>
  <c r="K30" i="5"/>
  <c r="D30" i="5"/>
  <c r="K22" i="5"/>
  <c r="D22" i="5"/>
  <c r="D24" i="5"/>
  <c r="K24" i="5"/>
  <c r="J2" i="4"/>
  <c r="M23" i="4"/>
  <c r="E40" i="5"/>
  <c r="L40" i="5" s="1"/>
  <c r="D34" i="5"/>
  <c r="K34" i="5"/>
  <c r="K38" i="5"/>
  <c r="D38" i="5"/>
  <c r="M5" i="4"/>
  <c r="E22" i="5"/>
  <c r="L22" i="5" s="1"/>
  <c r="B81" i="4"/>
  <c r="B131" i="4" s="1"/>
  <c r="F7" i="2"/>
  <c r="D40" i="5"/>
  <c r="K40" i="5"/>
  <c r="M21" i="4"/>
  <c r="E38" i="5"/>
  <c r="L38" i="5" s="1"/>
  <c r="E28" i="5"/>
  <c r="L28" i="5" s="1"/>
  <c r="M11" i="4"/>
  <c r="M13" i="4"/>
  <c r="E30" i="5"/>
  <c r="L30" i="5" s="1"/>
  <c r="K36" i="5"/>
  <c r="D36" i="5"/>
  <c r="M7" i="4"/>
  <c r="E24" i="5"/>
  <c r="L24" i="5" s="1"/>
  <c r="M17" i="4"/>
  <c r="E34" i="5"/>
  <c r="L34" i="5" s="1"/>
  <c r="D138" i="4"/>
  <c r="D108" i="4"/>
  <c r="E103" i="4"/>
  <c r="G103" i="4" s="1"/>
  <c r="E104" i="4"/>
  <c r="G104" i="4" s="1"/>
  <c r="B100" i="4"/>
  <c r="B106" i="4" s="1"/>
  <c r="E105" i="4"/>
  <c r="G105" i="4" s="1"/>
  <c r="E106" i="4"/>
  <c r="G106" i="4" s="1"/>
  <c r="D107" i="4"/>
  <c r="K5" i="4"/>
  <c r="L5" i="4"/>
  <c r="L7" i="4"/>
  <c r="K7" i="4"/>
  <c r="B89" i="4"/>
  <c r="K19" i="4"/>
  <c r="L19" i="4"/>
  <c r="L21" i="4"/>
  <c r="K21" i="4"/>
  <c r="K13" i="4"/>
  <c r="L13" i="4"/>
  <c r="K23" i="4"/>
  <c r="L23" i="4"/>
  <c r="L11" i="4"/>
  <c r="K11" i="4"/>
  <c r="L17" i="4"/>
  <c r="K17" i="4"/>
  <c r="B79" i="4"/>
  <c r="B77" i="4"/>
  <c r="J21" i="4"/>
  <c r="J23" i="4"/>
  <c r="J19" i="4"/>
  <c r="J11" i="4"/>
  <c r="J5" i="4"/>
  <c r="J13" i="4"/>
  <c r="J17" i="4"/>
  <c r="J7" i="4"/>
  <c r="B51" i="4"/>
  <c r="C7" i="2"/>
  <c r="J26" i="4"/>
  <c r="F43" i="4"/>
  <c r="F33" i="4"/>
  <c r="F38" i="4"/>
  <c r="F42" i="4"/>
  <c r="F32" i="4"/>
  <c r="F31" i="4"/>
  <c r="F37" i="4"/>
  <c r="F36" i="4"/>
  <c r="F34" i="4"/>
  <c r="F41" i="4"/>
  <c r="F40" i="4"/>
  <c r="I21" i="9" s="1"/>
  <c r="F39" i="4"/>
  <c r="F35" i="4"/>
  <c r="J25" i="4"/>
  <c r="B25" i="4"/>
  <c r="J3" i="4"/>
  <c r="J9" i="4"/>
  <c r="J12" i="4"/>
  <c r="J18" i="4"/>
  <c r="J14" i="4"/>
  <c r="J15" i="4"/>
  <c r="J16" i="4"/>
  <c r="J4" i="4"/>
  <c r="J20" i="4"/>
  <c r="J6" i="4"/>
  <c r="J22" i="4"/>
  <c r="J8" i="4"/>
  <c r="J24" i="4"/>
  <c r="J10" i="4"/>
  <c r="B14" i="1"/>
  <c r="B1" i="1"/>
  <c r="I15" i="9" l="1"/>
  <c r="J15" i="9" s="1"/>
  <c r="I19" i="9"/>
  <c r="I23" i="9"/>
  <c r="I14" i="9"/>
  <c r="I24" i="9"/>
  <c r="K24" i="9" s="1"/>
  <c r="L24" i="9" s="1"/>
  <c r="I13" i="9"/>
  <c r="J13" i="9" s="1"/>
  <c r="I16" i="9"/>
  <c r="J16" i="9" s="1"/>
  <c r="I20" i="9"/>
  <c r="K19" i="9" s="1"/>
  <c r="L19" i="9" s="1"/>
  <c r="I17" i="9"/>
  <c r="J17" i="9" s="1"/>
  <c r="I18" i="9"/>
  <c r="J18" i="9" s="1"/>
  <c r="J23" i="9"/>
  <c r="J14" i="9"/>
  <c r="J24" i="9"/>
  <c r="J21" i="9"/>
  <c r="J19" i="9"/>
  <c r="D26" i="2"/>
  <c r="D29" i="2"/>
  <c r="D31" i="2" s="1"/>
  <c r="I22" i="9"/>
  <c r="K21" i="9" s="1"/>
  <c r="L21" i="9" s="1"/>
  <c r="I27" i="9"/>
  <c r="K27" i="9"/>
  <c r="M30" i="5"/>
  <c r="N30" i="5" s="1"/>
  <c r="I30" i="5" s="1"/>
  <c r="F30" i="5"/>
  <c r="G30" i="5" s="1"/>
  <c r="B30" i="5" s="1"/>
  <c r="F38" i="5"/>
  <c r="G38" i="5" s="1"/>
  <c r="B38" i="5" s="1"/>
  <c r="M38" i="5"/>
  <c r="N38" i="5" s="1"/>
  <c r="I38" i="5" s="1"/>
  <c r="G20" i="2"/>
  <c r="L20" i="2"/>
  <c r="F28" i="5"/>
  <c r="G28" i="5" s="1"/>
  <c r="B28" i="5" s="1"/>
  <c r="M28" i="5"/>
  <c r="N28" i="5" s="1"/>
  <c r="I28" i="5" s="1"/>
  <c r="F40" i="5"/>
  <c r="G40" i="5" s="1"/>
  <c r="B40" i="5" s="1"/>
  <c r="M40" i="5"/>
  <c r="N40" i="5" s="1"/>
  <c r="I40" i="5" s="1"/>
  <c r="G115" i="4"/>
  <c r="F36" i="5"/>
  <c r="G36" i="5" s="1"/>
  <c r="B36" i="5" s="1"/>
  <c r="M36" i="5"/>
  <c r="N36" i="5" s="1"/>
  <c r="I36" i="5" s="1"/>
  <c r="F24" i="5"/>
  <c r="G24" i="5" s="1"/>
  <c r="B24" i="5" s="1"/>
  <c r="M24" i="5"/>
  <c r="N24" i="5" s="1"/>
  <c r="I24" i="5" s="1"/>
  <c r="M22" i="5"/>
  <c r="N22" i="5" s="1"/>
  <c r="I22" i="5" s="1"/>
  <c r="F22" i="5"/>
  <c r="G22" i="5" s="1"/>
  <c r="B22" i="5" s="1"/>
  <c r="F34" i="5"/>
  <c r="G34" i="5" s="1"/>
  <c r="B34" i="5" s="1"/>
  <c r="M34" i="5"/>
  <c r="N34" i="5" s="1"/>
  <c r="I34" i="5" s="1"/>
  <c r="K103" i="4"/>
  <c r="B108" i="4"/>
  <c r="G137" i="4"/>
  <c r="G136" i="4"/>
  <c r="G135" i="4"/>
  <c r="F138" i="4"/>
  <c r="G134" i="4"/>
  <c r="E138" i="4"/>
  <c r="G138" i="4" s="1"/>
  <c r="E107" i="4"/>
  <c r="D104" i="4"/>
  <c r="F104" i="4" s="1"/>
  <c r="H142" i="4"/>
  <c r="D106" i="4"/>
  <c r="F106" i="4" s="1"/>
  <c r="H144" i="4"/>
  <c r="I144" i="4" s="1"/>
  <c r="D105" i="4"/>
  <c r="F105" i="4" s="1"/>
  <c r="B102" i="4"/>
  <c r="D103" i="4"/>
  <c r="F103" i="4" s="1"/>
  <c r="B101" i="4"/>
  <c r="C89" i="4"/>
  <c r="B91" i="4"/>
  <c r="I7" i="2"/>
  <c r="J7" i="2" s="1"/>
  <c r="B86" i="4"/>
  <c r="C86" i="4" s="1"/>
  <c r="B82" i="4"/>
  <c r="B83" i="4"/>
  <c r="C83" i="4" s="1"/>
  <c r="B85" i="4"/>
  <c r="C85" i="4" s="1"/>
  <c r="B84" i="4"/>
  <c r="B52" i="4"/>
  <c r="B53" i="4" s="1"/>
  <c r="B118" i="4" s="1"/>
  <c r="B55" i="4"/>
  <c r="B26" i="4"/>
  <c r="K20" i="9" l="1"/>
  <c r="L20" i="9" s="1"/>
  <c r="J20" i="9"/>
  <c r="K14" i="9"/>
  <c r="L14" i="9" s="1"/>
  <c r="K18" i="9"/>
  <c r="L18" i="9" s="1"/>
  <c r="K15" i="9"/>
  <c r="L15" i="9" s="1"/>
  <c r="K13" i="9"/>
  <c r="L13" i="9" s="1"/>
  <c r="K16" i="9"/>
  <c r="L16" i="9" s="1"/>
  <c r="K17" i="9"/>
  <c r="L17" i="9" s="1"/>
  <c r="K23" i="9"/>
  <c r="L23" i="9" s="1"/>
  <c r="K12" i="9"/>
  <c r="L12" i="9" s="1"/>
  <c r="K22" i="9"/>
  <c r="L22" i="9" s="1"/>
  <c r="J22" i="9"/>
  <c r="I30" i="9"/>
  <c r="N20" i="2"/>
  <c r="O20" i="2" s="1"/>
  <c r="M20" i="2"/>
  <c r="H20" i="2"/>
  <c r="I20" i="2"/>
  <c r="J20" i="2" s="1"/>
  <c r="H116" i="4"/>
  <c r="B142" i="4" s="1"/>
  <c r="G21" i="2" s="1"/>
  <c r="H103" i="4"/>
  <c r="J103" i="4"/>
  <c r="L103" i="4" s="1"/>
  <c r="B110" i="4"/>
  <c r="B111" i="4" s="1"/>
  <c r="G107" i="4" s="1"/>
  <c r="I142" i="4"/>
  <c r="H143" i="4"/>
  <c r="I143" i="4" s="1"/>
  <c r="H138" i="4"/>
  <c r="I138" i="4" s="1"/>
  <c r="F135" i="4"/>
  <c r="H135" i="4" s="1"/>
  <c r="I135" i="4" s="1"/>
  <c r="H104" i="4"/>
  <c r="F134" i="4"/>
  <c r="H134" i="4" s="1"/>
  <c r="H106" i="4"/>
  <c r="F137" i="4"/>
  <c r="H137" i="4" s="1"/>
  <c r="I137" i="4" s="1"/>
  <c r="H105" i="4"/>
  <c r="F136" i="4"/>
  <c r="H136" i="4" s="1"/>
  <c r="I136" i="4" s="1"/>
  <c r="B130" i="4"/>
  <c r="B129" i="4"/>
  <c r="C91" i="4"/>
  <c r="B87" i="4"/>
  <c r="B119" i="4"/>
  <c r="C84" i="4"/>
  <c r="C82" i="4"/>
  <c r="K30" i="9" l="1"/>
  <c r="I32" i="9"/>
  <c r="H21" i="2"/>
  <c r="I21" i="2"/>
  <c r="G19" i="2"/>
  <c r="L19" i="2"/>
  <c r="B144" i="4"/>
  <c r="B143" i="4"/>
  <c r="B112" i="4"/>
  <c r="F107" i="4"/>
  <c r="I134" i="4"/>
  <c r="I139" i="4" s="1"/>
  <c r="I140" i="4" s="1"/>
  <c r="H139" i="4"/>
  <c r="B88" i="4"/>
  <c r="C87" i="4"/>
  <c r="C92" i="4" s="1"/>
  <c r="I33" i="9" l="1"/>
  <c r="K32" i="9"/>
  <c r="N19" i="2"/>
  <c r="O19" i="2" s="1"/>
  <c r="M19" i="2"/>
  <c r="H19" i="2"/>
  <c r="H22" i="2" s="1"/>
  <c r="I19" i="2"/>
  <c r="J19" i="2" s="1"/>
  <c r="J21" i="2"/>
  <c r="G22" i="2"/>
  <c r="B145" i="4"/>
  <c r="H107" i="4"/>
  <c r="H108" i="4" s="1"/>
  <c r="B132" i="4" s="1"/>
  <c r="L21" i="2" s="1"/>
  <c r="M21" i="2" s="1"/>
  <c r="H145" i="4"/>
  <c r="H146" i="4"/>
  <c r="I146" i="4" s="1"/>
  <c r="B92" i="4"/>
  <c r="I35" i="9" l="1"/>
  <c r="K33" i="9"/>
  <c r="M22" i="2"/>
  <c r="I22" i="2"/>
  <c r="J22" i="2"/>
  <c r="N21" i="2"/>
  <c r="L22" i="2"/>
  <c r="L26" i="2" s="1"/>
  <c r="B135" i="4"/>
  <c r="I145" i="4"/>
  <c r="I147" i="4" s="1"/>
  <c r="I148" i="4" s="1"/>
  <c r="B146" i="4" s="1"/>
  <c r="B134" i="4"/>
  <c r="B93" i="4"/>
  <c r="B120" i="4" s="1"/>
  <c r="K35" i="9" l="1"/>
  <c r="K36" i="9"/>
  <c r="I36" i="9"/>
  <c r="M26" i="2"/>
  <c r="M27" i="2" s="1"/>
  <c r="N22" i="2"/>
  <c r="N26" i="2" s="1"/>
  <c r="O21" i="2"/>
  <c r="O22" i="2" s="1"/>
  <c r="I26" i="2"/>
  <c r="G26" i="2"/>
  <c r="C125" i="4"/>
  <c r="B125" i="4"/>
  <c r="B147" i="4"/>
  <c r="B148" i="4" s="1"/>
  <c r="B136" i="4"/>
  <c r="B137" i="4" s="1"/>
  <c r="B121" i="4"/>
  <c r="O26" i="2" l="1"/>
  <c r="O27" i="2" s="1"/>
  <c r="N27" i="2"/>
  <c r="K31" i="2" s="1"/>
  <c r="N23" i="2"/>
  <c r="N24" i="2" s="1"/>
  <c r="I27" i="2"/>
  <c r="F31" i="2" s="1"/>
  <c r="I23" i="2"/>
  <c r="F33" i="2" s="1"/>
  <c r="J26" i="2"/>
  <c r="J27" i="2" s="1"/>
  <c r="G27" i="2"/>
  <c r="F30" i="2" s="1"/>
  <c r="H26" i="2"/>
  <c r="H27" i="2" s="1"/>
  <c r="G23" i="2"/>
  <c r="F32" i="2" s="1"/>
  <c r="L27" i="2"/>
  <c r="K30" i="2" s="1"/>
  <c r="L23" i="2"/>
  <c r="K32" i="2" s="1"/>
  <c r="B138" i="4"/>
  <c r="B139" i="4" s="1"/>
  <c r="K33" i="2" l="1"/>
  <c r="O23" i="2"/>
  <c r="O24" i="2" s="1"/>
  <c r="L24" i="2"/>
  <c r="M23" i="2"/>
  <c r="M24" i="2" s="1"/>
  <c r="J23" i="2"/>
  <c r="J24" i="2" s="1"/>
  <c r="I24" i="2"/>
  <c r="G24" i="2"/>
  <c r="H23" i="2"/>
  <c r="H24" i="2" s="1"/>
</calcChain>
</file>

<file path=xl/sharedStrings.xml><?xml version="1.0" encoding="utf-8"?>
<sst xmlns="http://schemas.openxmlformats.org/spreadsheetml/2006/main" count="577" uniqueCount="382">
  <si>
    <t>Company Name</t>
  </si>
  <si>
    <t>Devan Plastics Limited</t>
  </si>
  <si>
    <t>Copyright</t>
  </si>
  <si>
    <t>Copyright © 2023</t>
  </si>
  <si>
    <t>Phone 1</t>
  </si>
  <si>
    <t>(07) 578 8726</t>
  </si>
  <si>
    <t>Phone 2</t>
  </si>
  <si>
    <t>0800 466 203</t>
  </si>
  <si>
    <t>Fax</t>
  </si>
  <si>
    <t>(07) 577 0437</t>
  </si>
  <si>
    <t>Warning 1</t>
  </si>
  <si>
    <t>Warning</t>
  </si>
  <si>
    <t>Warning 2</t>
  </si>
  <si>
    <t xml:space="preserve">Dimensions and calculations apply only to Devan Plastics stormVAULT underground tanks and may change without notice as a </t>
  </si>
  <si>
    <t>Warning 3</t>
  </si>
  <si>
    <t>result of design changes. Devan Plastics accepts no liability for any consequential losses arising from the use of the dimensions shown above.</t>
  </si>
  <si>
    <t>Nom Vol (L)</t>
  </si>
  <si>
    <t>Length Overall (m)</t>
  </si>
  <si>
    <t>Working Vol (L)</t>
  </si>
  <si>
    <t>Vol (m3)</t>
  </si>
  <si>
    <t>Nom Vol (m3)</t>
  </si>
  <si>
    <t>Menu</t>
  </si>
  <si>
    <t>Weight (kg)</t>
  </si>
  <si>
    <t xml:space="preserve">Nominal </t>
  </si>
  <si>
    <t>(Select)</t>
  </si>
  <si>
    <t xml:space="preserve">Working </t>
  </si>
  <si>
    <t>Volume (m3)</t>
  </si>
  <si>
    <t>Volume (L)</t>
  </si>
  <si>
    <t>Length (m)</t>
  </si>
  <si>
    <t>Weight (Kg)</t>
  </si>
  <si>
    <t>Retention</t>
  </si>
  <si>
    <t>Height (mm)</t>
  </si>
  <si>
    <t>Detention</t>
  </si>
  <si>
    <t>(Above tank base)</t>
  </si>
  <si>
    <t>Nominal</t>
  </si>
  <si>
    <t>Diameter (mm)</t>
  </si>
  <si>
    <t>Outer</t>
  </si>
  <si>
    <t>Maximum</t>
  </si>
  <si>
    <t>Cover (mm)</t>
  </si>
  <si>
    <t>(Above silt trap base)</t>
  </si>
  <si>
    <t>Outer diameter (mm)</t>
  </si>
  <si>
    <t>Nominal diameter (mm)</t>
  </si>
  <si>
    <t>Silt trap depth (mm)</t>
  </si>
  <si>
    <t>Maximum cover (mm)</t>
  </si>
  <si>
    <t>Nominal radius (m)</t>
  </si>
  <si>
    <t>Equiv Length*(m)</t>
  </si>
  <si>
    <t>Angle θ degrees (check)</t>
  </si>
  <si>
    <t>Water</t>
  </si>
  <si>
    <t>Radians</t>
  </si>
  <si>
    <t>Height (m)</t>
  </si>
  <si>
    <t>vs Height</t>
  </si>
  <si>
    <t>Volume Label 1</t>
  </si>
  <si>
    <t>Volume Label 2</t>
  </si>
  <si>
    <t xml:space="preserve">Dead </t>
  </si>
  <si>
    <t>Void</t>
  </si>
  <si>
    <t>Anchor Pads</t>
  </si>
  <si>
    <t>Diameter (m)</t>
  </si>
  <si>
    <t>Area (m2)</t>
  </si>
  <si>
    <t>Minimum</t>
  </si>
  <si>
    <t>Segment Area</t>
  </si>
  <si>
    <t>θ + 2Φ = 180</t>
  </si>
  <si>
    <t>Φ Radians</t>
  </si>
  <si>
    <r>
      <rPr>
        <sz val="11"/>
        <color theme="1"/>
        <rFont val="Calibri"/>
        <family val="2"/>
      </rPr>
      <t xml:space="preserve">Φ </t>
    </r>
    <r>
      <rPr>
        <sz val="11"/>
        <color theme="1"/>
        <rFont val="Calibri"/>
        <family val="2"/>
        <scheme val="minor"/>
      </rPr>
      <t>Degrees</t>
    </r>
  </si>
  <si>
    <t>θ Radians</t>
  </si>
  <si>
    <t>% Width outside shadow</t>
  </si>
  <si>
    <t>Calculation Below</t>
  </si>
  <si>
    <t>Anchor Load Area (m2)</t>
  </si>
  <si>
    <t>Segment Area (m2)</t>
  </si>
  <si>
    <t>PI()</t>
  </si>
  <si>
    <t>Length (APD)</t>
  </si>
  <si>
    <t>Width (APD)</t>
  </si>
  <si>
    <t>Area (APD)</t>
  </si>
  <si>
    <t>Finished Ground (m)</t>
  </si>
  <si>
    <t>Depth below FGL (m)</t>
  </si>
  <si>
    <t>Fill</t>
  </si>
  <si>
    <t>Layer 1 (Finish) (m)</t>
  </si>
  <si>
    <t>Depth of cover (m)</t>
  </si>
  <si>
    <t xml:space="preserve">   0.15 to 0.85</t>
  </si>
  <si>
    <t xml:space="preserve">   ≥ 0</t>
  </si>
  <si>
    <t>Weight Layer 1 (kg)</t>
  </si>
  <si>
    <t>Weight Layer 2 (kg)</t>
  </si>
  <si>
    <t>Weight Layer 3 (kg)</t>
  </si>
  <si>
    <t>Firth Patio Pavers</t>
  </si>
  <si>
    <t>https://www.firth.co.nz/paving-and-retaining/permeable-pavers/patio-paver/</t>
  </si>
  <si>
    <t>Pallet (144 pavers) (kg)</t>
  </si>
  <si>
    <t>Weight per paver (kg)</t>
  </si>
  <si>
    <t xml:space="preserve">Paver </t>
  </si>
  <si>
    <t>300mm x 300mm x 50mm</t>
  </si>
  <si>
    <t>Pallet (144 pavers) cover (m2)</t>
  </si>
  <si>
    <t>Density kg/m3</t>
  </si>
  <si>
    <t>Firth Grass Pavers</t>
  </si>
  <si>
    <t>https://www.firth.co.nz/paving-and-retaining/permeable-pavers/grass-paver/</t>
  </si>
  <si>
    <t>Pallet (66 pavers) (kg)</t>
  </si>
  <si>
    <t>400mm x 400mm x 80mm</t>
  </si>
  <si>
    <t>Pallet (66 pavers) cover (m2)</t>
  </si>
  <si>
    <t>https://www.firth.co.nz/paving-and-retaining/permeable-pavers/pixel-paver/</t>
  </si>
  <si>
    <t>Firth Pixel Pavers</t>
  </si>
  <si>
    <t>Pallet (180 pavers) (kg)</t>
  </si>
  <si>
    <t>400mm x 200mm x 50mm</t>
  </si>
  <si>
    <t>Pallet 180 pavers) cover (m2)</t>
  </si>
  <si>
    <t>Layer 4 (Hardfill) (m)</t>
  </si>
  <si>
    <t>Layer 3 (m)</t>
  </si>
  <si>
    <t>Layer 2 (m)</t>
  </si>
  <si>
    <t>Tank Diameters</t>
  </si>
  <si>
    <t>Tank ID min (mm)</t>
  </si>
  <si>
    <t>Tank ID max (mm)</t>
  </si>
  <si>
    <t>Tank OD min (mm)</t>
  </si>
  <si>
    <t>Tank OD max (mm)</t>
  </si>
  <si>
    <t>Tank ID average (mm)</t>
  </si>
  <si>
    <t>Tank OD average (mm)</t>
  </si>
  <si>
    <t>Weight Layer 4 (kg)</t>
  </si>
  <si>
    <t>(Fin edge to fin edge)</t>
  </si>
  <si>
    <t>Weight of water displaced (kg)</t>
  </si>
  <si>
    <t>Down</t>
  </si>
  <si>
    <t>Up</t>
  </si>
  <si>
    <t>Force (N = kgm/s2)</t>
  </si>
  <si>
    <t>Weight to top of tank (kg)</t>
  </si>
  <si>
    <t>Gross Down (N)</t>
  </si>
  <si>
    <t>Rectangle - 1/2 tube volume</t>
  </si>
  <si>
    <t>Weight of 1 Litre of water (kg)</t>
  </si>
  <si>
    <t>Remember to correct for no backfill weight above riser</t>
  </si>
  <si>
    <t>Tank riser OD (mm)</t>
  </si>
  <si>
    <t>Use actual length minus riser diameter</t>
  </si>
  <si>
    <t>Tank Area (m2) from length</t>
  </si>
  <si>
    <t>Weight of Tank</t>
  </si>
  <si>
    <t>Auckland COP 5.3.8.4.6</t>
  </si>
  <si>
    <t>Balance Load required (kg)</t>
  </si>
  <si>
    <t>Default Factors</t>
  </si>
  <si>
    <t>Available load per anchor</t>
  </si>
  <si>
    <t>kg/m3</t>
  </si>
  <si>
    <t>Gross Load (kg)             [Factored]</t>
  </si>
  <si>
    <t>Gross Uplift (kg)          [Factored]</t>
  </si>
  <si>
    <t>Gross Load - Uplift (kg) [Factored]</t>
  </si>
  <si>
    <t>NZS1170 load factor (reduction)</t>
  </si>
  <si>
    <t>NZS1170 uplift factor (increase)</t>
  </si>
  <si>
    <t>NZS1170 cross factor</t>
  </si>
  <si>
    <t>Total weight (load) (kg)</t>
  </si>
  <si>
    <t>Available per anchor [Factored]</t>
  </si>
  <si>
    <t>Anchors required</t>
  </si>
  <si>
    <t>Net loading</t>
  </si>
  <si>
    <t>Dry Ground Conditions</t>
  </si>
  <si>
    <t>Factored</t>
  </si>
  <si>
    <t>Anchor Spacing Check</t>
  </si>
  <si>
    <t>Minimum tank Length</t>
  </si>
  <si>
    <t>Spacing between anchors</t>
  </si>
  <si>
    <t>Minimum anchor spacing</t>
  </si>
  <si>
    <t>Spacing (m)</t>
  </si>
  <si>
    <t>Pavers</t>
  </si>
  <si>
    <t>Tank Weight and load (dry)</t>
  </si>
  <si>
    <t>Averages</t>
  </si>
  <si>
    <t>Check/confirm</t>
  </si>
  <si>
    <t>Depth of cover</t>
  </si>
  <si>
    <t>Water table level below FGL</t>
  </si>
  <si>
    <t>Tank midline level below FGL</t>
  </si>
  <si>
    <t>Displaced Volume of Water (L)</t>
  </si>
  <si>
    <t>Equiv Length**(m)</t>
  </si>
  <si>
    <t>** Measured OD</t>
  </si>
  <si>
    <t>NZS1170 Factors 0.9*W(down)-1.2*W(up)</t>
  </si>
  <si>
    <t>Tank Area (m2) with fill above</t>
  </si>
  <si>
    <t>Equiv Length***(m)</t>
  </si>
  <si>
    <t>*** Measured ID</t>
  </si>
  <si>
    <t>Angle θ degrees (H2O disp)</t>
  </si>
  <si>
    <t>Angle θ radians (H2O disp)</t>
  </si>
  <si>
    <t>m</t>
  </si>
  <si>
    <r>
      <t xml:space="preserve">Dry </t>
    </r>
    <r>
      <rPr>
        <sz val="11"/>
        <color theme="1"/>
        <rFont val="Calibri"/>
        <family val="2"/>
      </rPr>
      <t>ρ</t>
    </r>
  </si>
  <si>
    <r>
      <t xml:space="preserve">Submerged </t>
    </r>
    <r>
      <rPr>
        <sz val="11"/>
        <color theme="1"/>
        <rFont val="Calibri"/>
        <family val="2"/>
      </rPr>
      <t>ρ</t>
    </r>
  </si>
  <si>
    <t>Ø / 2 to top of tank</t>
  </si>
  <si>
    <t>H Wet m</t>
  </si>
  <si>
    <t>H Dry m</t>
  </si>
  <si>
    <t>Weight Wet kg</t>
  </si>
  <si>
    <t>Weight Dry kg</t>
  </si>
  <si>
    <t>H Submerged</t>
  </si>
  <si>
    <t>Base of tank below FGL</t>
  </si>
  <si>
    <t>Tank midline level above base</t>
  </si>
  <si>
    <t>Submerged Height from base</t>
  </si>
  <si>
    <t>Tank</t>
  </si>
  <si>
    <t>0.5 of Tank X Section Area</t>
  </si>
  <si>
    <t>General Conditions</t>
  </si>
  <si>
    <t>Net Load Unfactored</t>
  </si>
  <si>
    <t>Net Load Factored</t>
  </si>
  <si>
    <t>Tank Weight</t>
  </si>
  <si>
    <t>Displaced Weight of H2O kg</t>
  </si>
  <si>
    <t>Displaced Volume of H2O (B102)</t>
  </si>
  <si>
    <t>Total Load on Tank (H108)</t>
  </si>
  <si>
    <t>Average thickness (30 mm) m</t>
  </si>
  <si>
    <t>Anchor Load</t>
  </si>
  <si>
    <t>Total kg per pad</t>
  </si>
  <si>
    <t>Total kg per anchor</t>
  </si>
  <si>
    <t>How many Anchors ?</t>
  </si>
  <si>
    <t>Unfactored!</t>
  </si>
  <si>
    <t>Submerged Weights</t>
  </si>
  <si>
    <t>Dry Weights</t>
  </si>
  <si>
    <t>Anchor top to top of tank</t>
  </si>
  <si>
    <t>Submerged densities used</t>
  </si>
  <si>
    <t>In this scenario submerged densities are not used. Values for dry fill are considered</t>
  </si>
  <si>
    <t>Total Load kg</t>
  </si>
  <si>
    <t>Area (x)</t>
  </si>
  <si>
    <t>Area (y)</t>
  </si>
  <si>
    <t>x</t>
  </si>
  <si>
    <t>Total Displaced Volume Area (OD) TDVA</t>
  </si>
  <si>
    <t>Area (x)+Area (y)</t>
  </si>
  <si>
    <t xml:space="preserve">DVA = TDVA - 0.5 of Tank X Section </t>
  </si>
  <si>
    <t>Area of Box</t>
  </si>
  <si>
    <t>Area (x)+Area (y) check 2</t>
  </si>
  <si>
    <t>How many Anchors ? (Submerged)</t>
  </si>
  <si>
    <t>Assumes tank empty</t>
  </si>
  <si>
    <t>Total Load on Tank (H116)</t>
  </si>
  <si>
    <t>Net Load Factored (with anchors)</t>
  </si>
  <si>
    <t>Tank weight</t>
  </si>
  <si>
    <t>Load from fill</t>
  </si>
  <si>
    <t>Load on anchors</t>
  </si>
  <si>
    <t>Load (excl anchors)</t>
  </si>
  <si>
    <t>Load (incl anchors)</t>
  </si>
  <si>
    <t>(Hard limit)</t>
  </si>
  <si>
    <t>Min Anchors</t>
  </si>
  <si>
    <t>Length - min tank length</t>
  </si>
  <si>
    <t>Un-Factored</t>
  </si>
  <si>
    <t>NZS 1170 Load reduction factor (0.9)</t>
  </si>
  <si>
    <t>NZS 1170 Uplift increase factor (1.2)</t>
  </si>
  <si>
    <t>Dry Density (kg/m3)</t>
  </si>
  <si>
    <t>Submerged (kg/m3)</t>
  </si>
  <si>
    <t>stormVAULT Tank Sizes &amp; Dimensions</t>
  </si>
  <si>
    <t>Specified Tank Volume (m3)</t>
  </si>
  <si>
    <t>Specified Tank Volume (L)</t>
  </si>
  <si>
    <t>Specified Tank Diameter (m)</t>
  </si>
  <si>
    <t>Specified Tank Diameter (mm)</t>
  </si>
  <si>
    <t>Specified Tank Length (m)</t>
  </si>
  <si>
    <t>Specified Tank Length (mm)</t>
  </si>
  <si>
    <t>θ Degrees</t>
  </si>
  <si>
    <t>Area m2</t>
  </si>
  <si>
    <t>1.2m Ø Tank radius (m)</t>
  </si>
  <si>
    <t>Tank options</t>
  </si>
  <si>
    <t>Nominal Vol. (m3)</t>
  </si>
  <si>
    <t>Working Vol. (m3)</t>
  </si>
  <si>
    <t>Available Vol. (m3)</t>
  </si>
  <si>
    <t>Estimated Tank Length (m)</t>
  </si>
  <si>
    <t>Estimated Tank Length (mm)</t>
  </si>
  <si>
    <t>Dead/Void Vol (m3)</t>
  </si>
  <si>
    <t>Estimated Tank Volume (L)</t>
  </si>
  <si>
    <t>Tank Length (m)</t>
  </si>
  <si>
    <t>Estimated Tank Volume (m3)</t>
  </si>
  <si>
    <t>Nominal riser OD (mm)</t>
  </si>
  <si>
    <t>From House/Building to trench edge (m)</t>
  </si>
  <si>
    <t>Timber pole retaining wall height (m)</t>
  </si>
  <si>
    <t>Setout (silt trap end) (m)</t>
  </si>
  <si>
    <t>Setout (non silt trap end) (m)</t>
  </si>
  <si>
    <t>Silt trap end</t>
  </si>
  <si>
    <t>Non Silt trap end</t>
  </si>
  <si>
    <t>From Timber pole retaining wall (m)</t>
  </si>
  <si>
    <t>Factors</t>
  </si>
  <si>
    <t>Breaking Load (kg)</t>
  </si>
  <si>
    <r>
      <t xml:space="preserve">16mm </t>
    </r>
    <r>
      <rPr>
        <sz val="11"/>
        <color theme="1"/>
        <rFont val="Calibri"/>
        <family val="2"/>
      </rPr>
      <t>Ø rope</t>
    </r>
  </si>
  <si>
    <t>Example (Tank cover 0.5m)</t>
  </si>
  <si>
    <t>Thickness (mm)</t>
  </si>
  <si>
    <t>Length minimum (mm) (add tank length)</t>
  </si>
  <si>
    <t>Layer 1 List Options</t>
  </si>
  <si>
    <t>Concrete Residential Driveway</t>
  </si>
  <si>
    <t>Concrete Commercial Driveway</t>
  </si>
  <si>
    <t>Other</t>
  </si>
  <si>
    <t>Width minimum (mm) (add diameter)</t>
  </si>
  <si>
    <t>Width minimum (mm)  (add diameter)</t>
  </si>
  <si>
    <t>Concrete Residential</t>
  </si>
  <si>
    <t>Concrete Commercial</t>
  </si>
  <si>
    <t>Concrete</t>
  </si>
  <si>
    <t xml:space="preserve"> ρH20</t>
  </si>
  <si>
    <t xml:space="preserve"> ρConc</t>
  </si>
  <si>
    <t>Water displaced</t>
  </si>
  <si>
    <t>Weight concrete</t>
  </si>
  <si>
    <t>Effective weight</t>
  </si>
  <si>
    <r>
      <t>x * y * h *  (ρ</t>
    </r>
    <r>
      <rPr>
        <vertAlign val="subscript"/>
        <sz val="14"/>
        <color theme="1"/>
        <rFont val="Calibri"/>
        <family val="2"/>
        <scheme val="minor"/>
      </rPr>
      <t>Conc</t>
    </r>
    <r>
      <rPr>
        <sz val="14"/>
        <color theme="1"/>
        <rFont val="Calibri"/>
        <family val="2"/>
        <scheme val="minor"/>
      </rPr>
      <t xml:space="preserve"> - ρ</t>
    </r>
    <r>
      <rPr>
        <vertAlign val="subscript"/>
        <sz val="14"/>
        <color theme="1"/>
        <rFont val="Calibri"/>
        <family val="2"/>
        <scheme val="minor"/>
      </rPr>
      <t>H20</t>
    </r>
    <r>
      <rPr>
        <sz val="14"/>
        <color theme="1"/>
        <rFont val="Calibri"/>
        <family val="2"/>
        <scheme val="minor"/>
      </rPr>
      <t>)</t>
    </r>
  </si>
  <si>
    <r>
      <t>x * y * h *  ρ</t>
    </r>
    <r>
      <rPr>
        <vertAlign val="subscript"/>
        <sz val="14"/>
        <color theme="1"/>
        <rFont val="Calibri"/>
        <family val="2"/>
        <scheme val="minor"/>
      </rPr>
      <t>H20</t>
    </r>
  </si>
  <si>
    <r>
      <t>x * y * h *  ρ</t>
    </r>
    <r>
      <rPr>
        <vertAlign val="subscript"/>
        <sz val="14"/>
        <color theme="1"/>
        <rFont val="Calibri"/>
        <family val="2"/>
        <scheme val="minor"/>
      </rPr>
      <t>Conc</t>
    </r>
  </si>
  <si>
    <t>But! What about hardfill where water can get into the fill?</t>
  </si>
  <si>
    <r>
      <t>Displaced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0</t>
    </r>
  </si>
  <si>
    <t>Quantity</t>
  </si>
  <si>
    <t>Information or result</t>
  </si>
  <si>
    <t>Red text</t>
  </si>
  <si>
    <t>Error messages</t>
  </si>
  <si>
    <t>Data Entry or select</t>
  </si>
  <si>
    <t>Lawn install only, may need additional anchors</t>
  </si>
  <si>
    <t>stormVAULT tank setout from building to nearest side of excavation (vertical sides)</t>
  </si>
  <si>
    <t>From setout from building table</t>
  </si>
  <si>
    <t>1.2m high retaining wall</t>
  </si>
  <si>
    <t>stormVAULT tank setout from retaining wall to nearest side of excavation (vertical sides)</t>
  </si>
  <si>
    <t>* Nom OD</t>
  </si>
  <si>
    <t>Each anchor rope is independent so to calculate load divide total load by # anchors then divide by 2</t>
  </si>
  <si>
    <t>Subtract 1 from answers in table above and add twice the retained height of the retaining wall, OR, add 1 metre,</t>
  </si>
  <si>
    <t>whichever is the greater distance.</t>
  </si>
  <si>
    <t>3.10 -1 + 1 = 3.10</t>
  </si>
  <si>
    <t>2.80 -1 + 1 = 2.80</t>
  </si>
  <si>
    <t>0.4m high retaining wall</t>
  </si>
  <si>
    <t>stormVAULT Tank Water Storage by height</t>
  </si>
  <si>
    <t>Pavers 1400 - 2100</t>
  </si>
  <si>
    <t>Soil 1100</t>
  </si>
  <si>
    <t>GAP20 1600</t>
  </si>
  <si>
    <t>Concrete 2400</t>
  </si>
  <si>
    <t>Table</t>
  </si>
  <si>
    <t>Porosity*</t>
  </si>
  <si>
    <t>*Water kg/m3</t>
  </si>
  <si>
    <t>1m3 of Hardfill</t>
  </si>
  <si>
    <t>1600 kg/m3</t>
  </si>
  <si>
    <t>Porosity 0.4</t>
  </si>
  <si>
    <t>When dry</t>
  </si>
  <si>
    <t>When saturated</t>
  </si>
  <si>
    <t xml:space="preserve">water content is </t>
  </si>
  <si>
    <t>400 kg/m3</t>
  </si>
  <si>
    <t xml:space="preserve">water displaced </t>
  </si>
  <si>
    <t>600 kg/m3</t>
  </si>
  <si>
    <t>Weight down</t>
  </si>
  <si>
    <t>1600 kg</t>
  </si>
  <si>
    <t>Buoyancy</t>
  </si>
  <si>
    <t>Submerged weight</t>
  </si>
  <si>
    <t>1000 kg</t>
  </si>
  <si>
    <t>600 kg</t>
  </si>
  <si>
    <t>1000 kg/m3</t>
  </si>
  <si>
    <r>
      <t xml:space="preserve">*Porosity 0 </t>
    </r>
    <r>
      <rPr>
        <b/>
        <sz val="11"/>
        <color theme="1"/>
        <rFont val="Calibri"/>
        <family val="2"/>
      </rPr>
      <t>≤ n  ≤ 1</t>
    </r>
  </si>
  <si>
    <t>Anchors wanted</t>
  </si>
  <si>
    <t>Anchors needed</t>
  </si>
  <si>
    <t>Key</t>
  </si>
  <si>
    <t>Void Volume/Total Volume</t>
  </si>
  <si>
    <t>Volume %</t>
  </si>
  <si>
    <t>of Tank</t>
  </si>
  <si>
    <r>
      <t xml:space="preserve">Calculate from </t>
    </r>
    <r>
      <rPr>
        <b/>
        <sz val="20"/>
        <color rgb="FFFF0000"/>
        <rFont val="Calibri"/>
        <family val="2"/>
        <scheme val="minor"/>
      </rPr>
      <t>length</t>
    </r>
    <r>
      <rPr>
        <sz val="20"/>
        <color theme="1"/>
        <rFont val="Calibri"/>
        <family val="2"/>
        <scheme val="minor"/>
      </rPr>
      <t xml:space="preserve"> (metres) and diameter an equivalent Devan tank</t>
    </r>
  </si>
  <si>
    <r>
      <t xml:space="preserve">Calculate from </t>
    </r>
    <r>
      <rPr>
        <b/>
        <sz val="20"/>
        <color rgb="FFFF0000"/>
        <rFont val="Calibri"/>
        <family val="2"/>
        <scheme val="minor"/>
      </rPr>
      <t>volume</t>
    </r>
    <r>
      <rPr>
        <sz val="20"/>
        <color theme="1"/>
        <rFont val="Calibri"/>
        <family val="2"/>
        <scheme val="minor"/>
      </rPr>
      <t xml:space="preserve"> (cubic metres) and diameter an equivalent Devan tank</t>
    </r>
  </si>
  <si>
    <t xml:space="preserve">Equivalent volume 1.2m Ø stormVAULT </t>
  </si>
  <si>
    <t>Dead or retention volume height (mm)</t>
  </si>
  <si>
    <t xml:space="preserve">               Enter Volume</t>
  </si>
  <si>
    <t xml:space="preserve">               Enter Diameter</t>
  </si>
  <si>
    <t xml:space="preserve">               Enter Length</t>
  </si>
  <si>
    <t>Anchors</t>
  </si>
  <si>
    <t>kg (Factored)</t>
  </si>
  <si>
    <t>kN (Factored)</t>
  </si>
  <si>
    <t>Buoyancy mitigation of fully buried empty tank</t>
  </si>
  <si>
    <t>Tank Matching</t>
  </si>
  <si>
    <t>Angle θ radians from Sizes &amp; Dimensions</t>
  </si>
  <si>
    <t>Angle θ radians from Sections</t>
  </si>
  <si>
    <t>Volume Label 3</t>
  </si>
  <si>
    <t>Volume Label 4</t>
  </si>
  <si>
    <t>kg (Un-Factored)</t>
  </si>
  <si>
    <t>kN (Un-Factored)</t>
  </si>
  <si>
    <r>
      <t>Set outs</t>
    </r>
    <r>
      <rPr>
        <b/>
        <vertAlign val="superscript"/>
        <sz val="11"/>
        <color theme="1"/>
        <rFont val="Aptos Narrow"/>
        <family val="2"/>
      </rPr>
      <t>†</t>
    </r>
  </si>
  <si>
    <t>Calculated set outs are for a vertical walled trench, not a sloping walled trench</t>
  </si>
  <si>
    <t xml:space="preserve">Water Table (m) </t>
  </si>
  <si>
    <r>
      <rPr>
        <sz val="11"/>
        <color theme="1"/>
        <rFont val="Aptos Narrow"/>
        <family val="2"/>
      </rPr>
      <t>≤</t>
    </r>
    <r>
      <rPr>
        <sz val="10.8"/>
        <color theme="1"/>
        <rFont val="Calibri"/>
        <family val="2"/>
      </rPr>
      <t xml:space="preserve"> FGL</t>
    </r>
  </si>
  <si>
    <t>FGL</t>
  </si>
  <si>
    <t>Cumulative Water</t>
  </si>
  <si>
    <t>Section Water</t>
  </si>
  <si>
    <t>l/s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</si>
  <si>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/s</t>
    </r>
  </si>
  <si>
    <t>Detention Volume</t>
  </si>
  <si>
    <t xml:space="preserve">m </t>
  </si>
  <si>
    <t>hrs</t>
  </si>
  <si>
    <t xml:space="preserve">Detention Height </t>
  </si>
  <si>
    <t>Detention release time</t>
  </si>
  <si>
    <t xml:space="preserve">l </t>
  </si>
  <si>
    <t>s</t>
  </si>
  <si>
    <t>mm</t>
  </si>
  <si>
    <r>
      <t>Area of orifice A</t>
    </r>
    <r>
      <rPr>
        <vertAlign val="subscript"/>
        <sz val="11"/>
        <color theme="1"/>
        <rFont val="Calibri"/>
        <family val="2"/>
        <scheme val="minor"/>
      </rPr>
      <t>(orifice)</t>
    </r>
  </si>
  <si>
    <r>
      <t>Diameter of orifice D</t>
    </r>
    <r>
      <rPr>
        <vertAlign val="subscript"/>
        <sz val="11"/>
        <color theme="1"/>
        <rFont val="Calibri"/>
        <family val="2"/>
        <scheme val="minor"/>
      </rPr>
      <t>(orifice)</t>
    </r>
  </si>
  <si>
    <t>Local Authority minimum orifice diameter</t>
  </si>
  <si>
    <t>Diameter of orifice to use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</si>
  <si>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</si>
  <si>
    <t>Drain time based on orifice diameter</t>
  </si>
  <si>
    <r>
      <t>Average discharge rate Q</t>
    </r>
    <r>
      <rPr>
        <vertAlign val="subscript"/>
        <sz val="11"/>
        <color theme="1"/>
        <rFont val="Calibri"/>
        <family val="2"/>
        <scheme val="minor"/>
      </rPr>
      <t>(avg)</t>
    </r>
  </si>
  <si>
    <r>
      <t>Average Hydraulic Head h</t>
    </r>
    <r>
      <rPr>
        <vertAlign val="subscript"/>
        <sz val="11"/>
        <color theme="1"/>
        <rFont val="Calibri"/>
        <family val="2"/>
        <scheme val="minor"/>
      </rPr>
      <t>(hy)</t>
    </r>
    <r>
      <rPr>
        <sz val="11"/>
        <color theme="1"/>
        <rFont val="Calibri"/>
        <family val="2"/>
        <scheme val="minor"/>
      </rPr>
      <t>*</t>
    </r>
  </si>
  <si>
    <t>Tank Sections and Orifice Calculation</t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</si>
  <si>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</si>
  <si>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mm</t>
    </r>
    <r>
      <rPr>
        <vertAlign val="superscript"/>
        <sz val="11"/>
        <color theme="1"/>
        <rFont val="Calibri"/>
        <family val="2"/>
        <scheme val="minor"/>
      </rPr>
      <t>2</t>
    </r>
  </si>
  <si>
    <t>Tank Set out lookup</t>
  </si>
  <si>
    <t>All</t>
  </si>
  <si>
    <t>Install Type</t>
  </si>
  <si>
    <t>stormVAULT Underground Cylindrical Tanks ToolBox Version 1.0</t>
  </si>
  <si>
    <t>Tank Sizes, Dimensions &amp; Buoyancy</t>
  </si>
  <si>
    <t>Layer 4</t>
  </si>
  <si>
    <t>Layer 3</t>
  </si>
  <si>
    <t>Layer 2</t>
  </si>
  <si>
    <t>Layer 1 (Finish)</t>
  </si>
  <si>
    <t>Layer</t>
  </si>
  <si>
    <t>Detention Volume Orifice Calculation - refer to Auckland Council Document GD01* for calculation details</t>
  </si>
  <si>
    <t>*GD01 - Stormwater Management Devices in the Auckland Region</t>
  </si>
  <si>
    <t>December 2017 (Incorporating Amendment 2)</t>
  </si>
  <si>
    <t>Section C5.2.3.2.2 Detention tank design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</si>
</sst>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0.0000"/>
    <numFmt numFmtId="167" formatCode="0.00000"/>
    <numFmt numFmtId="168" formatCode="#,##0.000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u/>
      <sz val="12"/>
      <name val="Arial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ptos Narrow"/>
      <family val="2"/>
    </font>
    <font>
      <sz val="11"/>
      <color theme="1"/>
      <name val="Aptos Narrow"/>
      <family val="2"/>
    </font>
    <font>
      <sz val="10.8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70C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16">
    <xf numFmtId="0" fontId="0" fillId="0" borderId="0" xfId="0"/>
    <xf numFmtId="0" fontId="2" fillId="0" borderId="0" xfId="0" applyFont="1" applyProtection="1">
      <protection hidden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8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1" fontId="0" fillId="0" borderId="17" xfId="0" applyNumberFormat="1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2" fontId="0" fillId="0" borderId="22" xfId="0" applyNumberFormat="1" applyBorder="1" applyAlignment="1" applyProtection="1">
      <alignment horizontal="center" vertical="center"/>
      <protection hidden="1"/>
    </xf>
    <xf numFmtId="2" fontId="0" fillId="0" borderId="25" xfId="0" applyNumberFormat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3" xfId="0" applyBorder="1" applyAlignment="1" applyProtection="1">
      <alignment horizontal="left" vertical="center"/>
      <protection hidden="1"/>
    </xf>
    <xf numFmtId="0" fontId="0" fillId="0" borderId="8" xfId="0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left" vertical="center"/>
      <protection hidden="1"/>
    </xf>
    <xf numFmtId="0" fontId="0" fillId="0" borderId="14" xfId="0" applyBorder="1" applyAlignment="1" applyProtection="1">
      <alignment horizontal="left" vertical="center"/>
      <protection hidden="1"/>
    </xf>
    <xf numFmtId="164" fontId="0" fillId="0" borderId="4" xfId="0" applyNumberForma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1" fontId="0" fillId="0" borderId="0" xfId="0" applyNumberFormat="1"/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1" fontId="0" fillId="0" borderId="26" xfId="0" applyNumberFormat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2" fontId="0" fillId="0" borderId="26" xfId="0" applyNumberFormat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164" fontId="0" fillId="3" borderId="0" xfId="0" applyNumberFormat="1" applyFill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164" fontId="0" fillId="4" borderId="0" xfId="0" applyNumberFormat="1" applyFill="1" applyAlignment="1" applyProtection="1">
      <alignment horizontal="center" vertical="center"/>
      <protection hidden="1"/>
    </xf>
    <xf numFmtId="2" fontId="0" fillId="4" borderId="0" xfId="0" applyNumberForma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Protection="1"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68" fontId="0" fillId="0" borderId="0" xfId="0" applyNumberFormat="1" applyAlignment="1" applyProtection="1">
      <alignment horizontal="left"/>
      <protection hidden="1"/>
    </xf>
    <xf numFmtId="0" fontId="7" fillId="3" borderId="0" xfId="0" applyFont="1" applyFill="1" applyProtection="1">
      <protection hidden="1"/>
    </xf>
    <xf numFmtId="0" fontId="7" fillId="0" borderId="0" xfId="0" applyFont="1" applyProtection="1">
      <protection hidden="1"/>
    </xf>
    <xf numFmtId="0" fontId="0" fillId="3" borderId="0" xfId="0" applyFill="1" applyAlignment="1" applyProtection="1">
      <alignment horizontal="left"/>
      <protection hidden="1"/>
    </xf>
    <xf numFmtId="1" fontId="0" fillId="3" borderId="0" xfId="0" applyNumberFormat="1" applyFill="1" applyAlignment="1" applyProtection="1">
      <alignment horizontal="left"/>
      <protection hidden="1"/>
    </xf>
    <xf numFmtId="0" fontId="0" fillId="5" borderId="0" xfId="0" applyFill="1" applyAlignment="1" applyProtection="1">
      <alignment horizontal="left"/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left"/>
      <protection hidden="1"/>
    </xf>
    <xf numFmtId="165" fontId="0" fillId="6" borderId="0" xfId="0" applyNumberFormat="1" applyFill="1" applyAlignment="1" applyProtection="1">
      <alignment horizontal="left"/>
      <protection hidden="1"/>
    </xf>
    <xf numFmtId="167" fontId="0" fillId="0" borderId="0" xfId="0" applyNumberFormat="1" applyAlignment="1" applyProtection="1">
      <alignment horizontal="left"/>
      <protection hidden="1"/>
    </xf>
    <xf numFmtId="0" fontId="0" fillId="3" borderId="0" xfId="0" quotePrefix="1" applyFill="1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horizontal="left"/>
      <protection hidden="1"/>
    </xf>
    <xf numFmtId="166" fontId="0" fillId="0" borderId="0" xfId="0" applyNumberFormat="1" applyAlignment="1" applyProtection="1">
      <alignment horizontal="left"/>
      <protection hidden="1"/>
    </xf>
    <xf numFmtId="167" fontId="0" fillId="7" borderId="0" xfId="0" applyNumberFormat="1" applyFill="1" applyAlignment="1" applyProtection="1">
      <alignment horizontal="left" vertical="center"/>
      <protection hidden="1"/>
    </xf>
    <xf numFmtId="167" fontId="0" fillId="7" borderId="0" xfId="0" applyNumberFormat="1" applyFill="1" applyAlignment="1" applyProtection="1">
      <alignment horizontal="left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5" borderId="0" xfId="0" applyFill="1" applyProtection="1">
      <protection hidden="1"/>
    </xf>
    <xf numFmtId="2" fontId="0" fillId="0" borderId="0" xfId="0" applyNumberFormat="1" applyAlignment="1" applyProtection="1">
      <alignment horizontal="left"/>
      <protection hidden="1"/>
    </xf>
    <xf numFmtId="0" fontId="0" fillId="7" borderId="0" xfId="0" applyFill="1" applyAlignment="1" applyProtection="1">
      <alignment horizontal="left" vertical="center"/>
      <protection hidden="1"/>
    </xf>
    <xf numFmtId="0" fontId="0" fillId="7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center"/>
      <protection hidden="1"/>
    </xf>
    <xf numFmtId="2" fontId="0" fillId="3" borderId="0" xfId="0" applyNumberFormat="1" applyFill="1" applyAlignment="1" applyProtection="1">
      <alignment horizontal="left"/>
      <protection hidden="1"/>
    </xf>
    <xf numFmtId="0" fontId="7" fillId="0" borderId="0" xfId="0" applyFont="1" applyAlignment="1" applyProtection="1">
      <alignment horizontal="left" vertical="center"/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2" fontId="0" fillId="2" borderId="0" xfId="0" applyNumberFormat="1" applyFill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left" vertical="center"/>
      <protection hidden="1"/>
    </xf>
    <xf numFmtId="1" fontId="0" fillId="0" borderId="0" xfId="0" applyNumberFormat="1" applyAlignment="1" applyProtection="1">
      <alignment horizontal="left"/>
      <protection hidden="1"/>
    </xf>
    <xf numFmtId="165" fontId="0" fillId="0" borderId="0" xfId="0" applyNumberFormat="1" applyAlignment="1" applyProtection="1">
      <alignment horizontal="left"/>
      <protection hidden="1"/>
    </xf>
    <xf numFmtId="2" fontId="0" fillId="8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left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9" borderId="0" xfId="0" applyFill="1" applyProtection="1">
      <protection hidden="1"/>
    </xf>
    <xf numFmtId="0" fontId="1" fillId="0" borderId="0" xfId="0" applyFont="1" applyProtection="1">
      <protection hidden="1"/>
    </xf>
    <xf numFmtId="1" fontId="1" fillId="0" borderId="0" xfId="0" applyNumberFormat="1" applyFont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2" fontId="1" fillId="0" borderId="0" xfId="0" applyNumberFormat="1" applyFont="1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164" fontId="0" fillId="9" borderId="0" xfId="0" applyNumberFormat="1" applyFill="1" applyAlignment="1" applyProtection="1">
      <alignment horizontal="center" vertical="center"/>
      <protection hidden="1"/>
    </xf>
    <xf numFmtId="164" fontId="1" fillId="5" borderId="0" xfId="0" applyNumberFormat="1" applyFont="1" applyFill="1" applyAlignment="1" applyProtection="1">
      <alignment horizontal="center" vertical="center"/>
      <protection locked="0" hidden="1"/>
    </xf>
    <xf numFmtId="0" fontId="5" fillId="5" borderId="0" xfId="1" applyFont="1" applyFill="1" applyProtection="1">
      <protection locked="0" hidden="1"/>
    </xf>
    <xf numFmtId="0" fontId="5" fillId="5" borderId="0" xfId="1" applyFont="1" applyFill="1" applyAlignment="1" applyProtection="1">
      <alignment horizontal="center"/>
      <protection locked="0"/>
    </xf>
    <xf numFmtId="0" fontId="0" fillId="5" borderId="6" xfId="0" applyFill="1" applyBorder="1" applyAlignment="1" applyProtection="1">
      <alignment horizontal="center" vertical="center"/>
      <protection hidden="1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6" xfId="0" applyFill="1" applyBorder="1" applyAlignment="1" applyProtection="1">
      <alignment horizontal="center" vertical="center"/>
      <protection locked="0"/>
    </xf>
    <xf numFmtId="1" fontId="0" fillId="5" borderId="17" xfId="0" applyNumberFormat="1" applyFill="1" applyBorder="1" applyAlignment="1" applyProtection="1">
      <alignment horizontal="center" vertical="center"/>
      <protection locked="0"/>
    </xf>
    <xf numFmtId="0" fontId="0" fillId="5" borderId="14" xfId="0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25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7" fillId="0" borderId="11" xfId="0" applyFont="1" applyBorder="1" applyAlignment="1" applyProtection="1">
      <alignment horizontal="center" vertical="center"/>
      <protection hidden="1"/>
    </xf>
    <xf numFmtId="0" fontId="27" fillId="0" borderId="11" xfId="0" applyFont="1" applyBorder="1" applyProtection="1">
      <protection hidden="1"/>
    </xf>
    <xf numFmtId="2" fontId="27" fillId="0" borderId="11" xfId="0" applyNumberFormat="1" applyFont="1" applyBorder="1" applyAlignment="1" applyProtection="1">
      <alignment horizontal="center" vertical="center"/>
      <protection hidden="1"/>
    </xf>
    <xf numFmtId="0" fontId="27" fillId="0" borderId="11" xfId="0" applyFont="1" applyBorder="1" applyAlignment="1" applyProtection="1">
      <alignment horizontal="center"/>
      <protection hidden="1"/>
    </xf>
    <xf numFmtId="2" fontId="27" fillId="0" borderId="0" xfId="0" applyNumberFormat="1" applyFont="1" applyAlignment="1" applyProtection="1">
      <alignment horizontal="center" vertical="center"/>
      <protection hidden="1"/>
    </xf>
    <xf numFmtId="0" fontId="28" fillId="0" borderId="11" xfId="0" applyFont="1" applyBorder="1" applyAlignment="1" applyProtection="1">
      <alignment vertical="center"/>
      <protection hidden="1"/>
    </xf>
    <xf numFmtId="0" fontId="28" fillId="0" borderId="12" xfId="0" applyFont="1" applyBorder="1" applyAlignment="1" applyProtection="1">
      <alignment horizontal="center" vertical="center"/>
      <protection hidden="1"/>
    </xf>
    <xf numFmtId="0" fontId="28" fillId="0" borderId="13" xfId="0" applyFont="1" applyBorder="1" applyAlignment="1" applyProtection="1">
      <alignment vertical="center"/>
      <protection hidden="1"/>
    </xf>
    <xf numFmtId="0" fontId="28" fillId="0" borderId="10" xfId="0" applyFont="1" applyBorder="1" applyAlignment="1" applyProtection="1">
      <alignment horizontal="center" vertical="center"/>
      <protection hidden="1"/>
    </xf>
    <xf numFmtId="0" fontId="29" fillId="0" borderId="0" xfId="0" applyFont="1" applyProtection="1"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26" fillId="5" borderId="0" xfId="1" applyFont="1" applyFill="1" applyAlignment="1" applyProtection="1">
      <alignment horizontal="center"/>
      <protection locked="0" hidden="1"/>
    </xf>
    <xf numFmtId="167" fontId="0" fillId="0" borderId="4" xfId="0" applyNumberForma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" fillId="0" borderId="7" xfId="0" applyFont="1" applyBorder="1" applyProtection="1">
      <protection hidden="1"/>
    </xf>
    <xf numFmtId="0" fontId="0" fillId="0" borderId="6" xfId="0" applyBorder="1" applyAlignment="1" applyProtection="1">
      <alignment horizontal="left"/>
      <protection hidden="1"/>
    </xf>
    <xf numFmtId="0" fontId="1" fillId="0" borderId="4" xfId="0" applyFont="1" applyBorder="1" applyProtection="1"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0" fillId="0" borderId="8" xfId="0" applyBorder="1" applyProtection="1"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2" borderId="10" xfId="0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" fillId="0" borderId="14" xfId="0" applyFont="1" applyBorder="1" applyAlignment="1" applyProtection="1">
      <alignment horizontal="center" vertical="center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0" fillId="0" borderId="6" xfId="0" quotePrefix="1" applyBorder="1" applyAlignment="1" applyProtection="1">
      <alignment horizontal="center" vertical="center"/>
      <protection hidden="1"/>
    </xf>
    <xf numFmtId="0" fontId="0" fillId="2" borderId="15" xfId="0" applyFill="1" applyBorder="1" applyAlignment="1" applyProtection="1">
      <alignment horizontal="center" vertical="center"/>
      <protection hidden="1"/>
    </xf>
    <xf numFmtId="0" fontId="0" fillId="0" borderId="4" xfId="0" applyBorder="1" applyProtection="1"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30" fillId="0" borderId="4" xfId="0" applyFont="1" applyBorder="1" applyProtection="1">
      <protection hidden="1"/>
    </xf>
    <xf numFmtId="0" fontId="0" fillId="2" borderId="13" xfId="0" applyFill="1" applyBorder="1" applyAlignment="1" applyProtection="1">
      <alignment horizontal="center" vertical="center"/>
      <protection hidden="1"/>
    </xf>
    <xf numFmtId="0" fontId="0" fillId="0" borderId="9" xfId="0" quotePrefix="1" applyBorder="1" applyAlignment="1" applyProtection="1">
      <alignment horizontal="center" vertical="center"/>
      <protection hidden="1"/>
    </xf>
    <xf numFmtId="164" fontId="0" fillId="2" borderId="10" xfId="0" applyNumberFormat="1" applyFill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0" borderId="7" xfId="0" applyNumberFormat="1" applyBorder="1" applyAlignment="1" applyProtection="1">
      <alignment horizontal="center" vertical="center"/>
      <protection hidden="1"/>
    </xf>
    <xf numFmtId="2" fontId="0" fillId="0" borderId="3" xfId="0" applyNumberFormat="1" applyBorder="1" applyAlignment="1" applyProtection="1">
      <alignment horizontal="center" vertical="center"/>
      <protection hidden="1"/>
    </xf>
    <xf numFmtId="1" fontId="0" fillId="0" borderId="4" xfId="0" applyNumberFormat="1" applyBorder="1" applyAlignment="1" applyProtection="1">
      <alignment horizontal="center" vertical="center"/>
      <protection hidden="1"/>
    </xf>
    <xf numFmtId="2" fontId="0" fillId="2" borderId="10" xfId="0" applyNumberFormat="1" applyFill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horizontal="left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164" fontId="0" fillId="2" borderId="9" xfId="0" applyNumberFormat="1" applyFill="1" applyBorder="1" applyAlignment="1" applyProtection="1">
      <alignment horizontal="center" vertical="center"/>
      <protection hidden="1"/>
    </xf>
    <xf numFmtId="164" fontId="0" fillId="2" borderId="8" xfId="0" applyNumberForma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14" fillId="0" borderId="7" xfId="0" applyFont="1" applyBorder="1" applyAlignment="1" applyProtection="1">
      <alignment horizontal="left" vertical="center"/>
      <protection hidden="1"/>
    </xf>
    <xf numFmtId="0" fontId="0" fillId="0" borderId="5" xfId="0" applyBorder="1" applyProtection="1">
      <protection hidden="1"/>
    </xf>
    <xf numFmtId="0" fontId="14" fillId="0" borderId="4" xfId="0" applyFont="1" applyBorder="1" applyAlignment="1" applyProtection="1">
      <alignment horizontal="left" vertical="center"/>
      <protection hidden="1"/>
    </xf>
    <xf numFmtId="0" fontId="0" fillId="0" borderId="3" xfId="0" applyBorder="1" applyProtection="1">
      <protection hidden="1"/>
    </xf>
    <xf numFmtId="0" fontId="1" fillId="0" borderId="4" xfId="0" applyFont="1" applyBorder="1" applyAlignment="1" applyProtection="1">
      <alignment horizontal="left" vertical="center"/>
      <protection hidden="1"/>
    </xf>
    <xf numFmtId="0" fontId="14" fillId="0" borderId="8" xfId="0" applyFont="1" applyBorder="1" applyAlignment="1" applyProtection="1">
      <alignment horizontal="left" vertical="center"/>
      <protection hidden="1"/>
    </xf>
    <xf numFmtId="0" fontId="0" fillId="0" borderId="10" xfId="0" applyBorder="1" applyProtection="1">
      <protection hidden="1"/>
    </xf>
    <xf numFmtId="0" fontId="1" fillId="0" borderId="7" xfId="0" applyFont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left"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left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11" borderId="0" xfId="0" applyFill="1" applyProtection="1">
      <protection hidden="1"/>
    </xf>
    <xf numFmtId="0" fontId="0" fillId="11" borderId="0" xfId="0" applyFill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center" vertical="center"/>
      <protection hidden="1"/>
    </xf>
    <xf numFmtId="0" fontId="5" fillId="5" borderId="0" xfId="1" applyFont="1" applyFill="1" applyAlignment="1" applyProtection="1">
      <alignment horizontal="center" vertical="center"/>
      <protection locked="0" hidden="1"/>
    </xf>
    <xf numFmtId="0" fontId="0" fillId="5" borderId="14" xfId="0" applyFill="1" applyBorder="1" applyAlignment="1" applyProtection="1">
      <alignment horizontal="center" vertical="center"/>
      <protection locked="0" hidden="1"/>
    </xf>
    <xf numFmtId="0" fontId="0" fillId="5" borderId="6" xfId="0" applyFill="1" applyBorder="1" applyAlignment="1" applyProtection="1">
      <alignment horizontal="center" vertical="center"/>
      <protection locked="0" hidden="1"/>
    </xf>
    <xf numFmtId="1" fontId="0" fillId="5" borderId="17" xfId="0" applyNumberFormat="1" applyFill="1" applyBorder="1" applyAlignment="1" applyProtection="1">
      <alignment horizontal="center" vertical="center"/>
      <protection locked="0" hidden="1"/>
    </xf>
    <xf numFmtId="0" fontId="0" fillId="5" borderId="5" xfId="0" applyFill="1" applyBorder="1" applyAlignment="1" applyProtection="1">
      <alignment horizontal="center" vertical="center"/>
      <protection locked="0" hidden="1"/>
    </xf>
    <xf numFmtId="0" fontId="0" fillId="5" borderId="3" xfId="0" applyFill="1" applyBorder="1" applyAlignment="1" applyProtection="1">
      <alignment horizontal="center" vertical="center"/>
      <protection locked="0" hidden="1"/>
    </xf>
    <xf numFmtId="164" fontId="0" fillId="5" borderId="6" xfId="0" applyNumberFormat="1" applyFill="1" applyBorder="1" applyAlignment="1" applyProtection="1">
      <alignment horizontal="center" vertical="center"/>
      <protection locked="0" hidden="1"/>
    </xf>
    <xf numFmtId="164" fontId="0" fillId="5" borderId="3" xfId="0" applyNumberFormat="1" applyFill="1" applyBorder="1" applyAlignment="1" applyProtection="1">
      <alignment horizontal="center" vertical="center"/>
      <protection locked="0" hidden="1"/>
    </xf>
    <xf numFmtId="0" fontId="0" fillId="5" borderId="12" xfId="0" applyFill="1" applyBorder="1" applyAlignment="1" applyProtection="1">
      <alignment horizontal="left" vertical="center"/>
      <protection locked="0" hidden="1"/>
    </xf>
    <xf numFmtId="0" fontId="0" fillId="5" borderId="4" xfId="0" applyFill="1" applyBorder="1" applyAlignment="1" applyProtection="1">
      <alignment horizontal="center" vertical="center"/>
      <protection locked="0" hidden="1"/>
    </xf>
    <xf numFmtId="0" fontId="0" fillId="5" borderId="8" xfId="0" applyFill="1" applyBorder="1" applyAlignment="1" applyProtection="1">
      <alignment horizontal="center" vertical="center"/>
      <protection locked="0" hidden="1"/>
    </xf>
    <xf numFmtId="0" fontId="0" fillId="5" borderId="15" xfId="0" applyFill="1" applyBorder="1" applyAlignment="1" applyProtection="1">
      <alignment horizontal="center" vertical="center"/>
      <protection locked="0" hidden="1"/>
    </xf>
    <xf numFmtId="0" fontId="0" fillId="5" borderId="13" xfId="0" applyFill="1" applyBorder="1" applyAlignment="1" applyProtection="1">
      <alignment horizontal="center" vertical="center"/>
      <protection locked="0" hidden="1"/>
    </xf>
    <xf numFmtId="2" fontId="0" fillId="5" borderId="5" xfId="0" applyNumberFormat="1" applyFill="1" applyBorder="1" applyAlignment="1" applyProtection="1">
      <alignment horizontal="center" vertical="center"/>
      <protection locked="0" hidden="1"/>
    </xf>
    <xf numFmtId="2" fontId="0" fillId="5" borderId="3" xfId="0" applyNumberFormat="1" applyFill="1" applyBorder="1" applyAlignment="1" applyProtection="1">
      <alignment horizontal="center" vertical="center"/>
      <protection locked="0" hidden="1"/>
    </xf>
    <xf numFmtId="0" fontId="0" fillId="5" borderId="0" xfId="0" applyFill="1" applyAlignment="1" applyProtection="1">
      <alignment horizontal="center" vertical="center"/>
      <protection locked="0" hidden="1"/>
    </xf>
    <xf numFmtId="164" fontId="0" fillId="5" borderId="4" xfId="0" applyNumberFormat="1" applyFill="1" applyBorder="1" applyAlignment="1" applyProtection="1">
      <alignment horizontal="center" vertical="center"/>
      <protection locked="0" hidden="1"/>
    </xf>
    <xf numFmtId="164" fontId="0" fillId="5" borderId="5" xfId="0" applyNumberFormat="1" applyFill="1" applyBorder="1" applyAlignment="1" applyProtection="1">
      <alignment horizontal="center" vertical="center"/>
      <protection locked="0" hidden="1"/>
    </xf>
    <xf numFmtId="0" fontId="24" fillId="5" borderId="0" xfId="1" applyFont="1" applyFill="1" applyBorder="1" applyAlignment="1" applyProtection="1">
      <alignment horizontal="center" vertical="center"/>
      <protection hidden="1"/>
    </xf>
    <xf numFmtId="0" fontId="24" fillId="5" borderId="0" xfId="1" applyFont="1" applyFill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15" xfId="0" applyBorder="1" applyAlignment="1" applyProtection="1">
      <alignment horizontal="left"/>
      <protection hidden="1"/>
    </xf>
    <xf numFmtId="0" fontId="0" fillId="0" borderId="13" xfId="0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jpe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276225</xdr:colOff>
      <xdr:row>48</xdr:row>
      <xdr:rowOff>57149</xdr:rowOff>
    </xdr:from>
    <xdr:to>
      <xdr:col>6</xdr:col>
      <xdr:colOff>942975</xdr:colOff>
      <xdr:row>50</xdr:row>
      <xdr:rowOff>123824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0A2A0F0F-8771-29A1-1BFC-D2E2ED936169}"/>
            </a:ext>
          </a:extLst>
        </xdr:cNvPr>
        <xdr:cNvSpPr/>
      </xdr:nvSpPr>
      <xdr:spPr>
        <a:xfrm rot="10800000">
          <a:off x="7191375" y="9067799"/>
          <a:ext cx="6667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7</xdr:col>
      <xdr:colOff>228600</xdr:colOff>
      <xdr:row>48</xdr:row>
      <xdr:rowOff>66675</xdr:rowOff>
    </xdr:from>
    <xdr:to>
      <xdr:col>7</xdr:col>
      <xdr:colOff>895350</xdr:colOff>
      <xdr:row>50</xdr:row>
      <xdr:rowOff>133350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A4F3C8D5-3261-4F03-B5B0-5AA549B3B478}"/>
            </a:ext>
          </a:extLst>
        </xdr:cNvPr>
        <xdr:cNvSpPr/>
      </xdr:nvSpPr>
      <xdr:spPr>
        <a:xfrm rot="10800000">
          <a:off x="8391525" y="9077325"/>
          <a:ext cx="6667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8</xdr:col>
      <xdr:colOff>314325</xdr:colOff>
      <xdr:row>48</xdr:row>
      <xdr:rowOff>76200</xdr:rowOff>
    </xdr:from>
    <xdr:to>
      <xdr:col>8</xdr:col>
      <xdr:colOff>981075</xdr:colOff>
      <xdr:row>50</xdr:row>
      <xdr:rowOff>142875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C49934AE-0ABE-4950-A759-D26F2BF8F6D4}"/>
            </a:ext>
          </a:extLst>
        </xdr:cNvPr>
        <xdr:cNvSpPr/>
      </xdr:nvSpPr>
      <xdr:spPr>
        <a:xfrm rot="10800000">
          <a:off x="9791700" y="9086850"/>
          <a:ext cx="6667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5</xdr:col>
      <xdr:colOff>700088</xdr:colOff>
      <xdr:row>38</xdr:row>
      <xdr:rowOff>90489</xdr:rowOff>
    </xdr:from>
    <xdr:to>
      <xdr:col>5</xdr:col>
      <xdr:colOff>1147763</xdr:colOff>
      <xdr:row>41</xdr:row>
      <xdr:rowOff>185739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96F94861-1E5F-4D58-8C47-F8DA9BA6BD2B}"/>
            </a:ext>
          </a:extLst>
        </xdr:cNvPr>
        <xdr:cNvSpPr/>
      </xdr:nvSpPr>
      <xdr:spPr>
        <a:xfrm rot="16200000">
          <a:off x="6257926" y="7305676"/>
          <a:ext cx="6667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5</xdr:col>
      <xdr:colOff>685800</xdr:colOff>
      <xdr:row>43</xdr:row>
      <xdr:rowOff>47625</xdr:rowOff>
    </xdr:from>
    <xdr:to>
      <xdr:col>5</xdr:col>
      <xdr:colOff>1133475</xdr:colOff>
      <xdr:row>46</xdr:row>
      <xdr:rowOff>142875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B56411F9-099A-4E89-9449-DB1F7080CFA1}"/>
            </a:ext>
          </a:extLst>
        </xdr:cNvPr>
        <xdr:cNvSpPr/>
      </xdr:nvSpPr>
      <xdr:spPr>
        <a:xfrm rot="16200000">
          <a:off x="6243638" y="8215312"/>
          <a:ext cx="6667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9</xdr:col>
      <xdr:colOff>85725</xdr:colOff>
      <xdr:row>38</xdr:row>
      <xdr:rowOff>95250</xdr:rowOff>
    </xdr:from>
    <xdr:to>
      <xdr:col>9</xdr:col>
      <xdr:colOff>533400</xdr:colOff>
      <xdr:row>42</xdr:row>
      <xdr:rowOff>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8ED21062-AC12-49D2-A021-AF5BBDB96294}"/>
            </a:ext>
          </a:extLst>
        </xdr:cNvPr>
        <xdr:cNvSpPr/>
      </xdr:nvSpPr>
      <xdr:spPr>
        <a:xfrm rot="5400000">
          <a:off x="10634663" y="7310437"/>
          <a:ext cx="6667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9</xdr:col>
      <xdr:colOff>95250</xdr:colOff>
      <xdr:row>43</xdr:row>
      <xdr:rowOff>57150</xdr:rowOff>
    </xdr:from>
    <xdr:to>
      <xdr:col>9</xdr:col>
      <xdr:colOff>542925</xdr:colOff>
      <xdr:row>46</xdr:row>
      <xdr:rowOff>152400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FF76DF03-32A8-425C-B647-0978D127F0E1}"/>
            </a:ext>
          </a:extLst>
        </xdr:cNvPr>
        <xdr:cNvSpPr/>
      </xdr:nvSpPr>
      <xdr:spPr>
        <a:xfrm rot="5400000">
          <a:off x="10644188" y="8224837"/>
          <a:ext cx="6667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 editAs="oneCell">
    <xdr:from>
      <xdr:col>6</xdr:col>
      <xdr:colOff>25645</xdr:colOff>
      <xdr:row>52</xdr:row>
      <xdr:rowOff>57150</xdr:rowOff>
    </xdr:from>
    <xdr:to>
      <xdr:col>8</xdr:col>
      <xdr:colOff>693964</xdr:colOff>
      <xdr:row>65</xdr:row>
      <xdr:rowOff>25401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7B4522-4CEE-9E03-6B73-6585DD6B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0795" y="10229850"/>
          <a:ext cx="3393830" cy="24511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</xdr:row>
      <xdr:rowOff>180975</xdr:rowOff>
    </xdr:from>
    <xdr:to>
      <xdr:col>7</xdr:col>
      <xdr:colOff>47625</xdr:colOff>
      <xdr:row>53</xdr:row>
      <xdr:rowOff>180975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BBAA123-C801-BE2B-EA69-8441CC6036C7}"/>
            </a:ext>
          </a:extLst>
        </xdr:cNvPr>
        <xdr:cNvSpPr txBox="1"/>
      </xdr:nvSpPr>
      <xdr:spPr>
        <a:xfrm>
          <a:off x="6867525" y="10239375"/>
          <a:ext cx="1295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2400" b="1">
              <a:solidFill>
                <a:srgbClr val="FF0000"/>
              </a:solidFill>
            </a:rPr>
            <a:t>GAP20</a:t>
          </a:r>
        </a:p>
      </xdr:txBody>
    </xdr:sp>
    <xdr:clientData/>
  </xdr:twoCellAnchor>
  <xdr:twoCellAnchor editAs="oneCell">
    <xdr:from>
      <xdr:col>1</xdr:col>
      <xdr:colOff>57162</xdr:colOff>
      <xdr:row>52</xdr:row>
      <xdr:rowOff>9513</xdr:rowOff>
    </xdr:from>
    <xdr:to>
      <xdr:col>5</xdr:col>
      <xdr:colOff>570821</xdr:colOff>
      <xdr:row>80</xdr:row>
      <xdr:rowOff>8847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CFB8E3F-D71E-7A80-2F6C-77CA0D976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762000" y="10163175"/>
          <a:ext cx="5333333" cy="5523809"/>
        </a:xfrm>
        <a:prstGeom prst="rect">
          <a:avLst/>
        </a:prstGeom>
      </xdr:spPr>
    </xdr:pic>
    <xdr:clientData/>
  </xdr:twoCellAnchor>
  <xdr:twoCellAnchor>
    <xdr:from>
      <xdr:col>1</xdr:col>
      <xdr:colOff>57162</xdr:colOff>
      <xdr:row>52</xdr:row>
      <xdr:rowOff>9513</xdr:rowOff>
    </xdr:from>
    <xdr:to>
      <xdr:col>2</xdr:col>
      <xdr:colOff>104787</xdr:colOff>
      <xdr:row>54</xdr:row>
      <xdr:rowOff>9513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BB415FC-56AA-482E-A92A-7E5715AEF506}"/>
            </a:ext>
          </a:extLst>
        </xdr:cNvPr>
        <xdr:cNvSpPr txBox="1"/>
      </xdr:nvSpPr>
      <xdr:spPr>
        <a:xfrm>
          <a:off x="666762" y="10258413"/>
          <a:ext cx="1295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2400" b="1">
              <a:solidFill>
                <a:srgbClr val="FF0000"/>
              </a:solidFill>
            </a:rPr>
            <a:t>GAP20</a:t>
          </a:r>
        </a:p>
      </xdr:txBody>
    </xdr:sp>
    <xdr:clientData/>
  </xdr:twoCellAnchor>
  <xdr:twoCellAnchor editAs="oneCell">
    <xdr:from>
      <xdr:col>9</xdr:col>
      <xdr:colOff>66675</xdr:colOff>
      <xdr:row>52</xdr:row>
      <xdr:rowOff>57150</xdr:rowOff>
    </xdr:from>
    <xdr:to>
      <xdr:col>13</xdr:col>
      <xdr:colOff>1133153</xdr:colOff>
      <xdr:row>69</xdr:row>
      <xdr:rowOff>28175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B0E1D69-10A0-6D97-9334-B96442990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77525" y="10306050"/>
          <a:ext cx="6200000" cy="3209524"/>
        </a:xfrm>
        <a:prstGeom prst="rect">
          <a:avLst/>
        </a:prstGeom>
      </xdr:spPr>
    </xdr:pic>
    <xdr:clientData/>
  </xdr:twoCellAnchor>
  <xdr:twoCellAnchor>
    <xdr:from>
      <xdr:col>9</xdr:col>
      <xdr:colOff>66675</xdr:colOff>
      <xdr:row>52</xdr:row>
      <xdr:rowOff>57150</xdr:rowOff>
    </xdr:from>
    <xdr:to>
      <xdr:col>10</xdr:col>
      <xdr:colOff>180975</xdr:colOff>
      <xdr:row>54</xdr:row>
      <xdr:rowOff>57150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6356FFF-82DE-48C4-A51D-49F567D35851}"/>
            </a:ext>
          </a:extLst>
        </xdr:cNvPr>
        <xdr:cNvSpPr txBox="1"/>
      </xdr:nvSpPr>
      <xdr:spPr>
        <a:xfrm>
          <a:off x="10677525" y="10306050"/>
          <a:ext cx="1295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2400" b="1">
              <a:solidFill>
                <a:srgbClr val="FF0000"/>
              </a:solidFill>
            </a:rPr>
            <a:t>GAP65</a:t>
          </a:r>
        </a:p>
      </xdr:txBody>
    </xdr:sp>
    <xdr:clientData/>
  </xdr:twoCellAnchor>
  <xdr:twoCellAnchor editAs="oneCell">
    <xdr:from>
      <xdr:col>9</xdr:col>
      <xdr:colOff>57150</xdr:colOff>
      <xdr:row>70</xdr:row>
      <xdr:rowOff>9525</xdr:rowOff>
    </xdr:from>
    <xdr:to>
      <xdr:col>14</xdr:col>
      <xdr:colOff>139806</xdr:colOff>
      <xdr:row>96</xdr:row>
      <xdr:rowOff>142241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6BE3AD5-DEDB-7BBC-D7EA-ED6CF7F09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000" y="13687425"/>
          <a:ext cx="6400000" cy="5085714"/>
        </a:xfrm>
        <a:prstGeom prst="rect">
          <a:avLst/>
        </a:prstGeom>
      </xdr:spPr>
    </xdr:pic>
    <xdr:clientData/>
  </xdr:twoCellAnchor>
  <xdr:twoCellAnchor>
    <xdr:from>
      <xdr:col>9</xdr:col>
      <xdr:colOff>57150</xdr:colOff>
      <xdr:row>70</xdr:row>
      <xdr:rowOff>9525</xdr:rowOff>
    </xdr:from>
    <xdr:to>
      <xdr:col>10</xdr:col>
      <xdr:colOff>171450</xdr:colOff>
      <xdr:row>72</xdr:row>
      <xdr:rowOff>9525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BFE9D14-6AA6-464F-832D-ED1FF63F4E8E}"/>
            </a:ext>
          </a:extLst>
        </xdr:cNvPr>
        <xdr:cNvSpPr txBox="1"/>
      </xdr:nvSpPr>
      <xdr:spPr>
        <a:xfrm>
          <a:off x="10668000" y="13687425"/>
          <a:ext cx="1295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2400" b="1">
              <a:solidFill>
                <a:srgbClr val="FF0000"/>
              </a:solidFill>
            </a:rPr>
            <a:t>GAP65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8</xdr:row>
      <xdr:rowOff>38099</xdr:rowOff>
    </xdr:from>
    <xdr:to>
      <xdr:col>5</xdr:col>
      <xdr:colOff>1200150</xdr:colOff>
      <xdr:row>31</xdr:row>
      <xdr:rowOff>174015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2A38E1-50C9-F8A5-7667-12E3310AE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562099"/>
          <a:ext cx="6210300" cy="4660291"/>
        </a:xfrm>
        <a:prstGeom prst="rect">
          <a:avLst/>
        </a:prstGeom>
      </xdr:spPr>
    </xdr:pic>
    <xdr:clientData/>
  </xdr:twoCellAnchor>
  <xdr:twoCellAnchor>
    <xdr:from>
      <xdr:col>2</xdr:col>
      <xdr:colOff>228599</xdr:colOff>
      <xdr:row>30</xdr:row>
      <xdr:rowOff>9524</xdr:rowOff>
    </xdr:from>
    <xdr:to>
      <xdr:col>4</xdr:col>
      <xdr:colOff>1238250</xdr:colOff>
      <xdr:row>32</xdr:row>
      <xdr:rowOff>9524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8A4D33E-FF86-4E07-8183-FBAE5ABDA005}"/>
            </a:ext>
          </a:extLst>
        </xdr:cNvPr>
        <xdr:cNvSpPr txBox="1"/>
      </xdr:nvSpPr>
      <xdr:spPr>
        <a:xfrm>
          <a:off x="2085974" y="5724524"/>
          <a:ext cx="3438526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2400" b="1">
              <a:solidFill>
                <a:srgbClr val="FF0000"/>
              </a:solidFill>
            </a:rPr>
            <a:t>10,000</a:t>
          </a:r>
          <a:r>
            <a:rPr lang="en-NZ" sz="2400" b="1" baseline="0">
              <a:solidFill>
                <a:srgbClr val="FF0000"/>
              </a:solidFill>
            </a:rPr>
            <a:t> Litre stormVAULT</a:t>
          </a:r>
          <a:endParaRPr lang="en-NZ" sz="2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12</xdr:col>
      <xdr:colOff>409575</xdr:colOff>
      <xdr:row>10</xdr:row>
      <xdr:rowOff>57150</xdr:rowOff>
    </xdr:from>
    <xdr:to>
      <xdr:col>15</xdr:col>
      <xdr:colOff>12307</xdr:colOff>
      <xdr:row>19</xdr:row>
      <xdr:rowOff>88681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4A1D0A-9CF3-B155-F860-1CC6FB1FD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49450" y="2000250"/>
          <a:ext cx="3142857" cy="17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5065041</xdr:colOff>
      <xdr:row>44</xdr:row>
      <xdr:rowOff>47625</xdr:rowOff>
    </xdr:from>
    <xdr:to>
      <xdr:col>4</xdr:col>
      <xdr:colOff>812799</xdr:colOff>
      <xdr:row>215</xdr:row>
      <xdr:rowOff>170542</xdr:rowOff>
    </xdr:to>
    <xdr:pic>
      <xdr:nvPicPr>
        <xdr:cNvPr id="2" name="Picture 1" descr="Area of Segment of a Circle (Formula, Theorems &amp; Examples)">
          <a:extLst>
            <a:ext uri="{FF2B5EF4-FFF2-40B4-BE49-F238E27FC236}">
              <a16:creationId xmlns:a16="http://schemas.microsoft.com/office/drawing/2014/main" id="{1CCB961B-7EF8-1B71-F0B5-6D6F3F310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541" y="8429625"/>
          <a:ext cx="4278983" cy="265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5648325</xdr:colOff>
      <xdr:row>32</xdr:row>
      <xdr:rowOff>182686</xdr:rowOff>
    </xdr:from>
    <xdr:to>
      <xdr:col>4</xdr:col>
      <xdr:colOff>800101</xdr:colOff>
      <xdr:row>213</xdr:row>
      <xdr:rowOff>9548</xdr:rowOff>
    </xdr:to>
    <xdr:pic>
      <xdr:nvPicPr>
        <xdr:cNvPr id="3" name="Picture 2" descr="Area Of A Segment - GCSE Maths - Steps, Examples &amp; Worksheet">
          <a:extLst>
            <a:ext uri="{FF2B5EF4-FFF2-40B4-BE49-F238E27FC236}">
              <a16:creationId xmlns:a16="http://schemas.microsoft.com/office/drawing/2014/main" id="{50CEE2D5-9DB9-CE23-DB39-4A79D6DDB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6278686"/>
          <a:ext cx="3686176" cy="2112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44450</xdr:colOff>
      <xdr:row>49</xdr:row>
      <xdr:rowOff>106850</xdr:rowOff>
    </xdr:from>
    <xdr:to>
      <xdr:col>7</xdr:col>
      <xdr:colOff>1241339</xdr:colOff>
      <xdr:row>217</xdr:row>
      <xdr:rowOff>61424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9931DD-1C0D-7446-02A4-67280CABB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98400" y="8974625"/>
          <a:ext cx="3387639" cy="2772874"/>
        </a:xfrm>
        <a:prstGeom prst="rect">
          <a:avLst/>
        </a:prstGeom>
      </xdr:spPr>
    </xdr:pic>
    <xdr:clientData/>
  </xdr:twoCellAnchor>
  <xdr:twoCellAnchor editAs="oneCell">
    <xdr:from>
      <xdr:col>1</xdr:col>
      <xdr:colOff>2390775</xdr:colOff>
      <xdr:row>33</xdr:row>
      <xdr:rowOff>57150</xdr:rowOff>
    </xdr:from>
    <xdr:to>
      <xdr:col>1</xdr:col>
      <xdr:colOff>5365379</xdr:colOff>
      <xdr:row>228</xdr:row>
      <xdr:rowOff>18430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7C4071-1143-C56B-3A92-7AEA71F0A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38650" y="6343650"/>
          <a:ext cx="2971429" cy="4971429"/>
        </a:xfrm>
        <a:prstGeom prst="rect">
          <a:avLst/>
        </a:prstGeom>
      </xdr:spPr>
    </xdr:pic>
    <xdr:clientData/>
  </xdr:twoCellAnchor>
  <xdr:twoCellAnchor editAs="oneCell">
    <xdr:from>
      <xdr:col>7</xdr:col>
      <xdr:colOff>629210</xdr:colOff>
      <xdr:row>151</xdr:row>
      <xdr:rowOff>8079</xdr:rowOff>
    </xdr:from>
    <xdr:to>
      <xdr:col>11</xdr:col>
      <xdr:colOff>389777</xdr:colOff>
      <xdr:row>216</xdr:row>
      <xdr:rowOff>19749</xdr:rowOff>
    </xdr:to>
    <xdr:pic>
      <xdr:nvPicPr>
        <xdr:cNvPr id="6" name="Picture 5" descr="Question Video: Finding the Volume of a Compound Solid Involving a Cylinder  and Hemispheres | Nagwa">
          <a:extLst>
            <a:ext uri="{FF2B5EF4-FFF2-40B4-BE49-F238E27FC236}">
              <a16:creationId xmlns:a16="http://schemas.microsoft.com/office/drawing/2014/main" id="{5FEAE8A9-E109-40F3-BFB3-A055AE8AE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6210" y="28773579"/>
          <a:ext cx="4475069" cy="268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456140</xdr:colOff>
      <xdr:row>27</xdr:row>
      <xdr:rowOff>168087</xdr:rowOff>
    </xdr:from>
    <xdr:to>
      <xdr:col>11</xdr:col>
      <xdr:colOff>1439582</xdr:colOff>
      <xdr:row>226</xdr:row>
      <xdr:rowOff>68976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249ADB-3493-4AAD-9AF6-45E07843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78228" y="5311587"/>
          <a:ext cx="6751297" cy="4654583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134470</xdr:colOff>
      <xdr:row>119</xdr:row>
      <xdr:rowOff>95444</xdr:rowOff>
    </xdr:from>
    <xdr:to>
      <xdr:col>8</xdr:col>
      <xdr:colOff>792442</xdr:colOff>
      <xdr:row>213</xdr:row>
      <xdr:rowOff>97925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0BB9BC8-7FA2-86B7-C8F7-7CDC93C3B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49852" y="22764944"/>
          <a:ext cx="5065059" cy="22070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32</xdr:row>
      <xdr:rowOff>13607</xdr:rowOff>
    </xdr:from>
    <xdr:to>
      <xdr:col>3</xdr:col>
      <xdr:colOff>968675</xdr:colOff>
      <xdr:row>56</xdr:row>
      <xdr:rowOff>139710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C3824D-99EC-C35B-DF14-FC8122BA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014357"/>
          <a:ext cx="8792782" cy="6657532"/>
        </a:xfrm>
        <a:prstGeom prst="rect">
          <a:avLst/>
        </a:prstGeom>
      </xdr:spPr>
    </xdr:pic>
    <xdr:clientData/>
  </xdr:twoCellAnchor>
  <xdr:twoCellAnchor editAs="oneCell">
    <xdr:from>
      <xdr:col>3</xdr:col>
      <xdr:colOff>1356179</xdr:colOff>
      <xdr:row>32</xdr:row>
      <xdr:rowOff>142421</xdr:rowOff>
    </xdr:from>
    <xdr:to>
      <xdr:col>6</xdr:col>
      <xdr:colOff>484469</xdr:colOff>
      <xdr:row>57</xdr:row>
      <xdr:rowOff>28128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53CEEC-51EA-4579-BD21-4270FCFD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88500" y="6143171"/>
          <a:ext cx="11007325" cy="66956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511175</xdr:colOff>
      <xdr:row>48</xdr:row>
      <xdr:rowOff>47625</xdr:rowOff>
    </xdr:from>
    <xdr:to>
      <xdr:col>6</xdr:col>
      <xdr:colOff>628650</xdr:colOff>
      <xdr:row>55</xdr:row>
      <xdr:rowOff>0</xdr:rowOff>
    </xdr:to>
    <xdr:pic>
      <xdr:nvPicPr>
        <xdr:cNvPr id="2" name="Picture 1" descr="Volume of Horizontal Cylinder">
          <a:extLst>
            <a:ext uri="{FF2B5EF4-FFF2-40B4-BE49-F238E27FC236}">
              <a16:creationId xmlns:a16="http://schemas.microsoft.com/office/drawing/2014/main" id="{5A7A38E1-1C8F-309B-C233-5B0F7B208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600" y="8572500"/>
          <a:ext cx="261302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352426</xdr:colOff>
      <xdr:row>47</xdr:row>
      <xdr:rowOff>19050</xdr:rowOff>
    </xdr:from>
    <xdr:to>
      <xdr:col>1</xdr:col>
      <xdr:colOff>1809751</xdr:colOff>
      <xdr:row>56</xdr:row>
      <xdr:rowOff>3071</xdr:rowOff>
    </xdr:to>
    <xdr:pic>
      <xdr:nvPicPr>
        <xdr:cNvPr id="4" name="Picture 3" descr="Volume of a Pipe Calculator">
          <a:extLst>
            <a:ext uri="{FF2B5EF4-FFF2-40B4-BE49-F238E27FC236}">
              <a16:creationId xmlns:a16="http://schemas.microsoft.com/office/drawing/2014/main" id="{A803E0B1-C0F8-01E9-C249-F9807F1C4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8591550"/>
          <a:ext cx="1838325" cy="1685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47</xdr:row>
      <xdr:rowOff>6350</xdr:rowOff>
    </xdr:from>
    <xdr:to>
      <xdr:col>4</xdr:col>
      <xdr:colOff>152400</xdr:colOff>
      <xdr:row>56</xdr:row>
      <xdr:rowOff>63500</xdr:rowOff>
    </xdr:to>
    <xdr:pic>
      <xdr:nvPicPr>
        <xdr:cNvPr id="5" name="Picture 4" descr="The Manning Equation for Partially Full Pipe Flow Calculations">
          <a:extLst>
            <a:ext uri="{FF2B5EF4-FFF2-40B4-BE49-F238E27FC236}">
              <a16:creationId xmlns:a16="http://schemas.microsoft.com/office/drawing/2014/main" id="{3FABB8A2-58D1-D1AA-EE79-ED7E89E97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8578850"/>
          <a:ext cx="255270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38101</xdr:colOff>
      <xdr:row>2</xdr:row>
      <xdr:rowOff>9525</xdr:rowOff>
    </xdr:from>
    <xdr:to>
      <xdr:col>3</xdr:col>
      <xdr:colOff>352425</xdr:colOff>
      <xdr:row>2</xdr:row>
      <xdr:rowOff>180975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8DD8841E-2C04-41FA-8804-F8AD6BB68116}"/>
            </a:ext>
          </a:extLst>
        </xdr:cNvPr>
        <xdr:cNvSpPr/>
      </xdr:nvSpPr>
      <xdr:spPr>
        <a:xfrm>
          <a:off x="3714751" y="571500"/>
          <a:ext cx="314324" cy="171450"/>
        </a:xfrm>
        <a:prstGeom prst="left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3</xdr:col>
      <xdr:colOff>38100</xdr:colOff>
      <xdr:row>5</xdr:row>
      <xdr:rowOff>0</xdr:rowOff>
    </xdr:from>
    <xdr:to>
      <xdr:col>3</xdr:col>
      <xdr:colOff>352424</xdr:colOff>
      <xdr:row>5</xdr:row>
      <xdr:rowOff>171450</xdr:rowOff>
    </xdr:to>
    <xdr:sp macro="" textlink="">
      <xdr:nvSpPr>
        <xdr:cNvPr id="6" name="Arrow: Left 5">
          <a:extLst>
            <a:ext uri="{FF2B5EF4-FFF2-40B4-BE49-F238E27FC236}">
              <a16:creationId xmlns:a16="http://schemas.microsoft.com/office/drawing/2014/main" id="{0159EFF6-DD46-4A2B-9303-EB66D5D8EAD7}"/>
            </a:ext>
          </a:extLst>
        </xdr:cNvPr>
        <xdr:cNvSpPr/>
      </xdr:nvSpPr>
      <xdr:spPr>
        <a:xfrm>
          <a:off x="3714750" y="1133475"/>
          <a:ext cx="314324" cy="171450"/>
        </a:xfrm>
        <a:prstGeom prst="left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10</xdr:col>
      <xdr:colOff>38101</xdr:colOff>
      <xdr:row>2</xdr:row>
      <xdr:rowOff>9525</xdr:rowOff>
    </xdr:from>
    <xdr:to>
      <xdr:col>10</xdr:col>
      <xdr:colOff>352425</xdr:colOff>
      <xdr:row>2</xdr:row>
      <xdr:rowOff>180975</xdr:rowOff>
    </xdr:to>
    <xdr:sp macro="" textlink="">
      <xdr:nvSpPr>
        <xdr:cNvPr id="7" name="Arrow: Left 6">
          <a:extLst>
            <a:ext uri="{FF2B5EF4-FFF2-40B4-BE49-F238E27FC236}">
              <a16:creationId xmlns:a16="http://schemas.microsoft.com/office/drawing/2014/main" id="{F94CC36A-D336-48E4-8BA3-29F55920CABC}"/>
            </a:ext>
          </a:extLst>
        </xdr:cNvPr>
        <xdr:cNvSpPr/>
      </xdr:nvSpPr>
      <xdr:spPr>
        <a:xfrm>
          <a:off x="3714751" y="571500"/>
          <a:ext cx="314324" cy="171450"/>
        </a:xfrm>
        <a:prstGeom prst="left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10</xdr:col>
      <xdr:colOff>38100</xdr:colOff>
      <xdr:row>2</xdr:row>
      <xdr:rowOff>9525</xdr:rowOff>
    </xdr:from>
    <xdr:to>
      <xdr:col>10</xdr:col>
      <xdr:colOff>352424</xdr:colOff>
      <xdr:row>2</xdr:row>
      <xdr:rowOff>180975</xdr:rowOff>
    </xdr:to>
    <xdr:sp macro="" textlink="">
      <xdr:nvSpPr>
        <xdr:cNvPr id="8" name="Arrow: Left 7">
          <a:extLst>
            <a:ext uri="{FF2B5EF4-FFF2-40B4-BE49-F238E27FC236}">
              <a16:creationId xmlns:a16="http://schemas.microsoft.com/office/drawing/2014/main" id="{FD4CDD41-78C8-4013-B9F8-E3C1E7082F08}"/>
            </a:ext>
          </a:extLst>
        </xdr:cNvPr>
        <xdr:cNvSpPr/>
      </xdr:nvSpPr>
      <xdr:spPr>
        <a:xfrm>
          <a:off x="3714750" y="571500"/>
          <a:ext cx="314324" cy="171450"/>
        </a:xfrm>
        <a:prstGeom prst="left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10</xdr:col>
      <xdr:colOff>38100</xdr:colOff>
      <xdr:row>5</xdr:row>
      <xdr:rowOff>0</xdr:rowOff>
    </xdr:from>
    <xdr:to>
      <xdr:col>10</xdr:col>
      <xdr:colOff>352424</xdr:colOff>
      <xdr:row>5</xdr:row>
      <xdr:rowOff>171450</xdr:rowOff>
    </xdr:to>
    <xdr:sp macro="" textlink="">
      <xdr:nvSpPr>
        <xdr:cNvPr id="9" name="Arrow: Left 8">
          <a:extLst>
            <a:ext uri="{FF2B5EF4-FFF2-40B4-BE49-F238E27FC236}">
              <a16:creationId xmlns:a16="http://schemas.microsoft.com/office/drawing/2014/main" id="{9AE507CD-D2F3-4701-BAB9-66419C2AAF3E}"/>
            </a:ext>
          </a:extLst>
        </xdr:cNvPr>
        <xdr:cNvSpPr/>
      </xdr:nvSpPr>
      <xdr:spPr>
        <a:xfrm>
          <a:off x="3714750" y="1133475"/>
          <a:ext cx="314324" cy="171450"/>
        </a:xfrm>
        <a:prstGeom prst="left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31"/>
  <sheetViews>
    <sheetView showGridLines="0" tabSelected="1" workbookViewId="0">
      <selection activeCell="C64" sqref="C64"/>
    </sheetView>
  </sheetViews>
  <sheetFormatPr defaultColWidth="8.7109375" defaultRowHeight="15" x14ac:dyDescent="0.25"/>
  <cols>
    <col min="1" max="2" width="50.7109375" style="6" customWidth="1"/>
    <col min="3" max="16384" width="8.7109375" style="6"/>
  </cols>
  <sheetData>
    <row r="1" spans="2:2" x14ac:dyDescent="0.25">
      <c r="B1" s="112" t="str">
        <f>'DP Settings'!B1</f>
        <v>Devan Plastics Limited</v>
      </c>
    </row>
    <row r="3" spans="2:2" ht="15.75" x14ac:dyDescent="0.25">
      <c r="B3" s="4" t="s">
        <v>371</v>
      </c>
    </row>
    <row r="4" spans="2:2" x14ac:dyDescent="0.25">
      <c r="B4" s="96"/>
    </row>
    <row r="5" spans="2:2" ht="15.75" x14ac:dyDescent="0.25">
      <c r="B5" s="206" t="s">
        <v>372</v>
      </c>
    </row>
    <row r="6" spans="2:2" ht="15.75" x14ac:dyDescent="0.25">
      <c r="B6" s="113"/>
    </row>
    <row r="7" spans="2:2" ht="15.75" x14ac:dyDescent="0.25">
      <c r="B7" s="206" t="s">
        <v>365</v>
      </c>
    </row>
    <row r="8" spans="2:2" ht="15.75" x14ac:dyDescent="0.25">
      <c r="B8" s="113"/>
    </row>
    <row r="9" spans="2:2" ht="15.75" x14ac:dyDescent="0.25">
      <c r="B9" s="207" t="s">
        <v>368</v>
      </c>
    </row>
    <row r="10" spans="2:2" ht="15.75" x14ac:dyDescent="0.25">
      <c r="B10" s="113"/>
    </row>
    <row r="11" spans="2:2" ht="15.75" x14ac:dyDescent="0.25">
      <c r="B11" s="207" t="s">
        <v>333</v>
      </c>
    </row>
    <row r="14" spans="2:2" x14ac:dyDescent="0.25">
      <c r="B14" s="112" t="str">
        <f>'DP Settings'!B2 &amp; " " &amp;'DP Settings'!B1</f>
        <v>Copyright © 2023 Devan Plastics Limited</v>
      </c>
    </row>
    <row r="31" spans="2:2" x14ac:dyDescent="0.25">
      <c r="B31" s="96"/>
    </row>
  </sheetData>
  <sheetProtection algorithmName="SHA-512" hashValue="/kIZ3WbIZhJjl4nB8VOPmc8YVs5FNcM8KBl6RReq9Y6OgRdSY656UuQdXHDZzw0qHXukZ6eiVQ8aaLsmDzELEQ==" saltValue="/oe+S7cMhbzA3zN8mKgShw==" spinCount="100000" sheet="1" objects="1" scenarios="1"/>
  <hyperlinks>
    <hyperlink ref="B5" location="'Sizes &amp; Dimensions'!A1" display="Tank Sizes, Dimensions &amp; Buoyancy" xr:uid="{F1B6FE7E-1FEE-4E12-A538-2296125FCD08}"/>
    <hyperlink ref="B7" location="'Sections &amp; Orifice'!A1" display="Tank Sections and Orifice Calculation" xr:uid="{FA003703-1BB2-4D65-8015-DD517F290616}"/>
    <hyperlink ref="B9" location="'Tank set out lookup'!A1" display="Tank Set out lookup" xr:uid="{6F7858B8-CE13-4703-8D58-FBA8A23A9D79}"/>
    <hyperlink ref="B11" location="'Tank Matching'!A1" display="Tank Matching" xr:uid="{3F34252D-6C0F-46E1-A333-30CA094F3B29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2EB90-EA30-4284-BF67-58C313C4B13A}">
  <dimension ref="A1:Q99"/>
  <sheetViews>
    <sheetView zoomScale="90" zoomScaleNormal="90" workbookViewId="0">
      <selection activeCell="J15" sqref="J15"/>
    </sheetView>
  </sheetViews>
  <sheetFormatPr defaultColWidth="8.7109375" defaultRowHeight="15" x14ac:dyDescent="0.25"/>
  <cols>
    <col min="1" max="1" width="8.7109375" style="6"/>
    <col min="2" max="3" width="18.7109375" style="5" customWidth="1"/>
    <col min="4" max="4" width="17.7109375" style="5" customWidth="1"/>
    <col min="5" max="5" width="20" style="5" customWidth="1"/>
    <col min="6" max="7" width="18.7109375" style="5" customWidth="1"/>
    <col min="8" max="8" width="22.28515625" style="5" customWidth="1"/>
    <col min="9" max="11" width="17.7109375" style="5" customWidth="1"/>
    <col min="12" max="12" width="18.7109375" style="5" customWidth="1"/>
    <col min="13" max="13" width="22.85546875" style="5" customWidth="1"/>
    <col min="14" max="14" width="17.7109375" style="5" customWidth="1"/>
    <col min="15" max="15" width="17.7109375" style="6" customWidth="1"/>
    <col min="16" max="16384" width="8.7109375" style="6"/>
  </cols>
  <sheetData>
    <row r="1" spans="1:17" x14ac:dyDescent="0.25">
      <c r="A1" s="188" t="s">
        <v>21</v>
      </c>
    </row>
    <row r="2" spans="1:17" ht="15" customHeight="1" x14ac:dyDescent="0.25">
      <c r="B2" s="8"/>
      <c r="G2" s="7" t="s">
        <v>221</v>
      </c>
      <c r="H2" s="129"/>
      <c r="L2" s="8" t="str">
        <f>'DP Settings'!B2 &amp;" "&amp;'DP Settings'!B1</f>
        <v>Copyright © 2023 Devan Plastics Limited</v>
      </c>
    </row>
    <row r="3" spans="1:17" ht="15.75" thickBot="1" x14ac:dyDescent="0.3"/>
    <row r="4" spans="1:17" x14ac:dyDescent="0.25">
      <c r="B4" s="9" t="s">
        <v>23</v>
      </c>
      <c r="C4" s="10" t="s">
        <v>25</v>
      </c>
      <c r="D4" s="10" t="s">
        <v>25</v>
      </c>
      <c r="E4" s="10"/>
      <c r="F4" s="10"/>
      <c r="G4" s="10" t="str">
        <f>I4</f>
        <v>Retention</v>
      </c>
      <c r="H4" s="10" t="str">
        <f>I4</f>
        <v>Retention</v>
      </c>
      <c r="I4" s="190" t="s">
        <v>30</v>
      </c>
      <c r="J4" s="190" t="s">
        <v>32</v>
      </c>
      <c r="K4" s="10" t="s">
        <v>34</v>
      </c>
      <c r="L4" s="10" t="s">
        <v>36</v>
      </c>
      <c r="M4" s="11" t="s">
        <v>37</v>
      </c>
    </row>
    <row r="5" spans="1:17" x14ac:dyDescent="0.25">
      <c r="B5" s="12" t="s">
        <v>26</v>
      </c>
      <c r="C5" s="5" t="s">
        <v>26</v>
      </c>
      <c r="D5" s="5" t="s">
        <v>27</v>
      </c>
      <c r="E5" s="5" t="s">
        <v>28</v>
      </c>
      <c r="F5" s="5" t="s">
        <v>29</v>
      </c>
      <c r="G5" s="5" t="s">
        <v>31</v>
      </c>
      <c r="H5" s="5" t="s">
        <v>31</v>
      </c>
      <c r="I5" s="5" t="s">
        <v>27</v>
      </c>
      <c r="J5" s="5" t="s">
        <v>27</v>
      </c>
      <c r="K5" s="5" t="s">
        <v>35</v>
      </c>
      <c r="L5" s="5" t="s">
        <v>35</v>
      </c>
      <c r="M5" s="13" t="s">
        <v>38</v>
      </c>
    </row>
    <row r="6" spans="1:17" ht="15.75" thickBot="1" x14ac:dyDescent="0.3">
      <c r="B6" s="12" t="s">
        <v>24</v>
      </c>
      <c r="G6" s="5" t="s">
        <v>33</v>
      </c>
      <c r="H6" s="5" t="s">
        <v>39</v>
      </c>
      <c r="L6" s="5" t="s">
        <v>111</v>
      </c>
      <c r="M6" s="13"/>
    </row>
    <row r="7" spans="1:17" ht="15.75" thickBot="1" x14ac:dyDescent="0.3">
      <c r="B7" s="189">
        <v>6</v>
      </c>
      <c r="C7" s="14">
        <f>D7/1000</f>
        <v>6.0350000000000001</v>
      </c>
      <c r="D7" s="14">
        <f>VLOOKUP(B7,'DP Settings'!E2:G25,3,FALSE)</f>
        <v>6035</v>
      </c>
      <c r="E7" s="14">
        <f>VLOOKUP(B7,'DP Settings'!E2:K25,4,FALSE)</f>
        <v>5.95</v>
      </c>
      <c r="F7" s="14">
        <f>ROUNDDOWN(VLOOKUP(B7,'DP Settings'!E2:I25,5,FALSE),0)</f>
        <v>408</v>
      </c>
      <c r="G7" s="191">
        <v>300</v>
      </c>
      <c r="H7" s="15">
        <f>G7+'DP Settings'!B20</f>
        <v>600</v>
      </c>
      <c r="I7" s="14">
        <f>ROUNDUP(VLOOKUP(B7,'DP Settings'!E2:L25,8,FALSE)*(('DP Settings'!C73^2)/2)*(('DP Settings'!B25-SIN('DP Settings'!B25))*1000),0)</f>
        <v>1180</v>
      </c>
      <c r="J7" s="14">
        <f>D7-I7</f>
        <v>4855</v>
      </c>
      <c r="K7" s="14">
        <f>'DP Settings'!B21</f>
        <v>1200</v>
      </c>
      <c r="L7" s="14">
        <f>'DP Settings'!B22</f>
        <v>1330</v>
      </c>
      <c r="M7" s="16">
        <f>'DP Settings'!B23</f>
        <v>850</v>
      </c>
    </row>
    <row r="8" spans="1:17" ht="15.75" thickBot="1" x14ac:dyDescent="0.3"/>
    <row r="9" spans="1:17" x14ac:dyDescent="0.25">
      <c r="A9" s="130" t="s">
        <v>47</v>
      </c>
      <c r="B9" s="131" t="s">
        <v>72</v>
      </c>
      <c r="C9" s="10" t="s">
        <v>344</v>
      </c>
      <c r="D9" s="192">
        <v>0</v>
      </c>
    </row>
    <row r="10" spans="1:17" ht="15" customHeight="1" x14ac:dyDescent="0.3">
      <c r="A10" s="132" t="s">
        <v>296</v>
      </c>
      <c r="B10" s="49" t="s">
        <v>342</v>
      </c>
      <c r="C10" s="73" t="s">
        <v>343</v>
      </c>
      <c r="D10" s="193">
        <v>0</v>
      </c>
      <c r="E10" s="133" t="str">
        <f>IF(D10&gt;D9, "ERROR: Water Table must be lower than FGL!", " ")</f>
        <v xml:space="preserve"> </v>
      </c>
      <c r="J10" s="137" t="s">
        <v>332</v>
      </c>
    </row>
    <row r="11" spans="1:17" ht="15" customHeight="1" thickBot="1" x14ac:dyDescent="0.3">
      <c r="A11" s="134"/>
      <c r="B11" s="135" t="s">
        <v>73</v>
      </c>
      <c r="C11" s="33"/>
      <c r="D11" s="136">
        <f>D9-D10</f>
        <v>0</v>
      </c>
    </row>
    <row r="12" spans="1:17" ht="15.75" thickBot="1" x14ac:dyDescent="0.3">
      <c r="B12" s="49"/>
      <c r="H12" s="138" t="s">
        <v>219</v>
      </c>
      <c r="I12" s="139" t="s">
        <v>297</v>
      </c>
      <c r="J12" s="212" t="s">
        <v>377</v>
      </c>
      <c r="L12" s="212" t="s">
        <v>377</v>
      </c>
      <c r="M12" s="139" t="s">
        <v>220</v>
      </c>
      <c r="O12" s="5"/>
      <c r="P12" s="5"/>
      <c r="Q12" s="5"/>
    </row>
    <row r="13" spans="1:17" ht="15.75" thickBot="1" x14ac:dyDescent="0.3">
      <c r="A13" s="130" t="s">
        <v>74</v>
      </c>
      <c r="B13" s="131" t="s">
        <v>75</v>
      </c>
      <c r="C13" s="140" t="s">
        <v>78</v>
      </c>
      <c r="D13" s="194">
        <v>0.2</v>
      </c>
      <c r="E13" s="196" t="s">
        <v>258</v>
      </c>
      <c r="F13" s="133" t="str">
        <f>IF(E13='DP Settings'!A163," ",IF(E13='DP Settings'!A161,IF(D13&lt;0.2,"Must be at least 0.2m thick"," "),IF(E13='DP Settings'!A162,IF(D13&lt;0.25,"Must be at least 0.25m thick"," "))))</f>
        <v xml:space="preserve"> </v>
      </c>
      <c r="G13" s="211"/>
      <c r="H13" s="197">
        <v>1100</v>
      </c>
      <c r="I13" s="199">
        <v>0.4</v>
      </c>
      <c r="J13" s="208" t="s">
        <v>376</v>
      </c>
      <c r="L13" s="208" t="s">
        <v>376</v>
      </c>
      <c r="M13" s="141">
        <f>H13-(1-I13)*K36</f>
        <v>500</v>
      </c>
      <c r="O13" s="5"/>
      <c r="P13" s="5"/>
      <c r="Q13" s="5"/>
    </row>
    <row r="14" spans="1:17" x14ac:dyDescent="0.25">
      <c r="A14" s="142"/>
      <c r="B14" s="49" t="s">
        <v>102</v>
      </c>
      <c r="C14" s="143" t="s">
        <v>78</v>
      </c>
      <c r="D14" s="195">
        <v>0</v>
      </c>
      <c r="F14" s="133" t="str">
        <f>IF(E13='DP Settings'!A163," ",IF(E13='DP Settings'!A161,IF(D13&lt;0.2,"Enter correct values to D13, H13 and I13"," "),IF(E13='DP Settings'!A162,IF(D13&lt;0.25,"Enter correct values to D13, H13 and I13"," "))))</f>
        <v xml:space="preserve"> </v>
      </c>
      <c r="G14" s="211"/>
      <c r="H14" s="197">
        <v>1600</v>
      </c>
      <c r="I14" s="199">
        <v>0.4</v>
      </c>
      <c r="J14" s="209" t="s">
        <v>375</v>
      </c>
      <c r="L14" s="209" t="s">
        <v>375</v>
      </c>
      <c r="M14" s="141">
        <f>H14-(1-I14)*K36</f>
        <v>1000</v>
      </c>
      <c r="O14" s="5"/>
      <c r="P14" s="5"/>
      <c r="Q14" s="5"/>
    </row>
    <row r="15" spans="1:17" x14ac:dyDescent="0.25">
      <c r="A15" s="142"/>
      <c r="B15" s="49" t="s">
        <v>101</v>
      </c>
      <c r="C15" s="143" t="s">
        <v>78</v>
      </c>
      <c r="D15" s="195">
        <v>0</v>
      </c>
      <c r="F15" s="39"/>
      <c r="G15" s="211"/>
      <c r="H15" s="197">
        <v>1600</v>
      </c>
      <c r="I15" s="199">
        <v>0.4</v>
      </c>
      <c r="J15" s="209" t="s">
        <v>374</v>
      </c>
      <c r="L15" s="209" t="s">
        <v>374</v>
      </c>
      <c r="M15" s="141">
        <f>H15-(1-I15)*K36</f>
        <v>1000</v>
      </c>
      <c r="O15" s="5"/>
      <c r="P15" s="5"/>
      <c r="Q15" s="5"/>
    </row>
    <row r="16" spans="1:17" ht="15.75" thickBot="1" x14ac:dyDescent="0.3">
      <c r="A16" s="144"/>
      <c r="B16" s="49" t="s">
        <v>100</v>
      </c>
      <c r="C16" s="143" t="s">
        <v>77</v>
      </c>
      <c r="D16" s="195">
        <v>0.35</v>
      </c>
      <c r="F16" s="39"/>
      <c r="G16" s="211"/>
      <c r="H16" s="198">
        <v>1600</v>
      </c>
      <c r="I16" s="200">
        <v>0.4</v>
      </c>
      <c r="J16" s="210" t="s">
        <v>373</v>
      </c>
      <c r="L16" s="210" t="s">
        <v>373</v>
      </c>
      <c r="M16" s="145">
        <f>H16-(1-I16)*K36</f>
        <v>1000</v>
      </c>
      <c r="O16" s="5"/>
      <c r="P16" s="5"/>
      <c r="Q16" s="5"/>
    </row>
    <row r="17" spans="1:15" ht="15.75" thickBot="1" x14ac:dyDescent="0.3">
      <c r="A17" s="134"/>
      <c r="B17" s="135" t="s">
        <v>76</v>
      </c>
      <c r="C17" s="146" t="s">
        <v>77</v>
      </c>
      <c r="D17" s="147">
        <f>SUM(D13:D16)</f>
        <v>0.55000000000000004</v>
      </c>
      <c r="E17" s="133" t="str">
        <f>IF(D17&gt;(M7/1000),"DEPTH OF COVER EXCEEDED!",IF(D17&lt;0.35,"INSUFFICIENT COVER!", " "))</f>
        <v xml:space="preserve"> </v>
      </c>
      <c r="O17" s="5"/>
    </row>
    <row r="18" spans="1:15" ht="15.75" thickBot="1" x14ac:dyDescent="0.3">
      <c r="B18" s="49"/>
      <c r="F18" s="139" t="s">
        <v>274</v>
      </c>
      <c r="G18" s="148" t="s">
        <v>338</v>
      </c>
      <c r="H18" s="149" t="s">
        <v>339</v>
      </c>
      <c r="I18" s="148" t="s">
        <v>330</v>
      </c>
      <c r="J18" s="149" t="s">
        <v>331</v>
      </c>
      <c r="K18" s="139" t="s">
        <v>274</v>
      </c>
      <c r="L18" s="148" t="s">
        <v>338</v>
      </c>
      <c r="M18" s="149" t="s">
        <v>339</v>
      </c>
      <c r="N18" s="148" t="s">
        <v>330</v>
      </c>
      <c r="O18" s="149" t="s">
        <v>331</v>
      </c>
    </row>
    <row r="19" spans="1:15" ht="18" x14ac:dyDescent="0.25">
      <c r="A19" s="130" t="s">
        <v>249</v>
      </c>
      <c r="B19" s="131" t="s">
        <v>217</v>
      </c>
      <c r="C19" s="10"/>
      <c r="D19" s="201">
        <v>0.9</v>
      </c>
      <c r="F19" s="150" t="s">
        <v>273</v>
      </c>
      <c r="G19" s="56">
        <f>'DP Settings'!B130</f>
        <v>6036</v>
      </c>
      <c r="H19" s="41">
        <f>G19*9.81/1000</f>
        <v>59.213160000000002</v>
      </c>
      <c r="I19" s="151">
        <f>G19*D20</f>
        <v>7243.2</v>
      </c>
      <c r="J19" s="152">
        <f>I19*9.81/1000</f>
        <v>71.055791999999997</v>
      </c>
      <c r="K19" s="150" t="s">
        <v>273</v>
      </c>
      <c r="L19" s="56">
        <f>'DP Settings'!B130</f>
        <v>6036</v>
      </c>
      <c r="M19" s="41">
        <f>L19*9.81/1000</f>
        <v>59.213160000000002</v>
      </c>
      <c r="N19" s="151">
        <f>L19*D20</f>
        <v>7243.2</v>
      </c>
      <c r="O19" s="152">
        <f>N19*9.81/1000</f>
        <v>71.055791999999997</v>
      </c>
    </row>
    <row r="20" spans="1:15" x14ac:dyDescent="0.25">
      <c r="A20" s="142"/>
      <c r="B20" s="49" t="s">
        <v>218</v>
      </c>
      <c r="D20" s="202">
        <v>1.2</v>
      </c>
      <c r="F20" s="150" t="s">
        <v>208</v>
      </c>
      <c r="G20" s="56">
        <f>F7</f>
        <v>408</v>
      </c>
      <c r="H20" s="41">
        <f>G20*9.81/1000</f>
        <v>4.0024800000000003</v>
      </c>
      <c r="I20" s="153">
        <f>G20*D19</f>
        <v>367.2</v>
      </c>
      <c r="J20" s="152">
        <f>I20*9.81/1000</f>
        <v>3.6022319999999999</v>
      </c>
      <c r="K20" s="150" t="s">
        <v>208</v>
      </c>
      <c r="L20" s="56">
        <f>F7</f>
        <v>408</v>
      </c>
      <c r="M20" s="41">
        <f>L20*9.81/1000</f>
        <v>4.0024800000000003</v>
      </c>
      <c r="N20" s="153">
        <f>L20*D19</f>
        <v>367.2</v>
      </c>
      <c r="O20" s="152">
        <f>N20*9.81/1000</f>
        <v>3.6022319999999999</v>
      </c>
    </row>
    <row r="21" spans="1:15" ht="15.75" thickBot="1" x14ac:dyDescent="0.3">
      <c r="A21" s="134"/>
      <c r="B21" s="135" t="str">
        <f>"Cross product of factors (" &amp; D20 &amp;" / "&amp;D19&amp;")"</f>
        <v>Cross product of factors (1.2 / 0.9)</v>
      </c>
      <c r="C21" s="33"/>
      <c r="D21" s="154">
        <f>D20/D19</f>
        <v>1.3333333333333333</v>
      </c>
      <c r="F21" s="150" t="s">
        <v>209</v>
      </c>
      <c r="G21" s="56">
        <f>'DP Settings'!B142</f>
        <v>6091</v>
      </c>
      <c r="H21" s="41">
        <f>G21*9.81/1000</f>
        <v>59.752710000000008</v>
      </c>
      <c r="I21" s="153">
        <f>G21*D19</f>
        <v>5481.9000000000005</v>
      </c>
      <c r="J21" s="152">
        <f>I21*9.81/1000</f>
        <v>53.777439000000008</v>
      </c>
      <c r="K21" s="150" t="s">
        <v>209</v>
      </c>
      <c r="L21" s="56">
        <f>'DP Settings'!B132</f>
        <v>3577</v>
      </c>
      <c r="M21" s="41">
        <f>L21*9.81/1000</f>
        <v>35.09037</v>
      </c>
      <c r="N21" s="153">
        <f>L21*D19</f>
        <v>3219.3</v>
      </c>
      <c r="O21" s="152">
        <f>N21*9.81/1000</f>
        <v>31.581333000000001</v>
      </c>
    </row>
    <row r="22" spans="1:15" ht="15.75" thickBot="1" x14ac:dyDescent="0.3">
      <c r="B22" s="49"/>
      <c r="F22" s="150" t="s">
        <v>211</v>
      </c>
      <c r="G22" s="56">
        <f>G20+G21-G19</f>
        <v>463</v>
      </c>
      <c r="H22" s="41">
        <f>H20+H21-H19</f>
        <v>4.542030000000004</v>
      </c>
      <c r="I22" s="153">
        <f>I21+I20-I19</f>
        <v>-1394.0999999999995</v>
      </c>
      <c r="J22" s="152">
        <f>J21+J20-J19</f>
        <v>-13.676120999999988</v>
      </c>
      <c r="K22" s="150" t="s">
        <v>211</v>
      </c>
      <c r="L22" s="56">
        <f t="shared" ref="L22:O22" si="0">L20+L21-L19</f>
        <v>-2051</v>
      </c>
      <c r="M22" s="41">
        <f>M21+M20-M19</f>
        <v>-20.120310000000003</v>
      </c>
      <c r="N22" s="153">
        <f t="shared" si="0"/>
        <v>-3656.7</v>
      </c>
      <c r="O22" s="152">
        <f t="shared" si="0"/>
        <v>-35.872226999999995</v>
      </c>
    </row>
    <row r="23" spans="1:15" ht="16.5" x14ac:dyDescent="0.25">
      <c r="A23" s="130" t="s">
        <v>340</v>
      </c>
      <c r="B23" s="131"/>
      <c r="C23" s="155"/>
      <c r="D23" s="156" t="s">
        <v>246</v>
      </c>
      <c r="F23" s="150" t="s">
        <v>210</v>
      </c>
      <c r="G23" s="56">
        <f>G26*'DP Settings'!I147</f>
        <v>0</v>
      </c>
      <c r="H23" s="41">
        <f>G23*9.81/1000</f>
        <v>0</v>
      </c>
      <c r="I23" s="153">
        <f>I26*'DP Settings'!I148</f>
        <v>2055.96</v>
      </c>
      <c r="J23" s="152">
        <f>I23*9.81/1000</f>
        <v>20.168967599999998</v>
      </c>
      <c r="K23" s="150" t="s">
        <v>210</v>
      </c>
      <c r="L23" s="56">
        <f>L26*'DP Settings'!I139</f>
        <v>2093.04</v>
      </c>
      <c r="M23" s="41">
        <f>L23*9.81/1000</f>
        <v>20.532722400000001</v>
      </c>
      <c r="N23" s="153">
        <f>N26*'DP Settings'!I140</f>
        <v>3767.4719999999998</v>
      </c>
      <c r="O23" s="152">
        <f>N23*9.81/1000</f>
        <v>36.958900319999998</v>
      </c>
    </row>
    <row r="24" spans="1:15" ht="15.75" thickBot="1" x14ac:dyDescent="0.3">
      <c r="A24" s="132"/>
      <c r="B24" s="49" t="s">
        <v>242</v>
      </c>
      <c r="C24" s="157"/>
      <c r="D24" s="158">
        <f>1+D17+2*'DP Settings'!B24+('DP Settings'!B20/1000)+0.1</f>
        <v>3.15</v>
      </c>
      <c r="F24" s="150" t="s">
        <v>212</v>
      </c>
      <c r="G24" s="56">
        <f>G22+G23</f>
        <v>463</v>
      </c>
      <c r="H24" s="41">
        <f>H22+H23</f>
        <v>4.542030000000004</v>
      </c>
      <c r="I24" s="153">
        <f>I22+I23</f>
        <v>661.86000000000058</v>
      </c>
      <c r="J24" s="152">
        <f>J22+J23</f>
        <v>6.4928466000000107</v>
      </c>
      <c r="K24" s="150" t="s">
        <v>212</v>
      </c>
      <c r="L24" s="56">
        <f t="shared" ref="L24:N24" si="1">L22+L23</f>
        <v>42.039999999999964</v>
      </c>
      <c r="M24" s="41">
        <f>M22+M23</f>
        <v>0.41241239999999735</v>
      </c>
      <c r="N24" s="153">
        <f t="shared" si="1"/>
        <v>110.77199999999993</v>
      </c>
      <c r="O24" s="152">
        <f>O22+O23</f>
        <v>1.0866733200000027</v>
      </c>
    </row>
    <row r="25" spans="1:15" ht="15.75" thickBot="1" x14ac:dyDescent="0.3">
      <c r="A25" s="142"/>
      <c r="B25" s="49" t="s">
        <v>243</v>
      </c>
      <c r="D25" s="193">
        <v>0.5</v>
      </c>
      <c r="F25" s="139" t="s">
        <v>329</v>
      </c>
      <c r="G25" s="148" t="s">
        <v>216</v>
      </c>
      <c r="H25" s="148" t="s">
        <v>216</v>
      </c>
      <c r="I25" s="138" t="s">
        <v>141</v>
      </c>
      <c r="J25" s="149" t="s">
        <v>141</v>
      </c>
      <c r="K25" s="139" t="s">
        <v>329</v>
      </c>
      <c r="L25" s="148" t="s">
        <v>216</v>
      </c>
      <c r="M25" s="148" t="s">
        <v>216</v>
      </c>
      <c r="N25" s="138" t="s">
        <v>141</v>
      </c>
      <c r="O25" s="149" t="s">
        <v>141</v>
      </c>
    </row>
    <row r="26" spans="1:15" x14ac:dyDescent="0.25">
      <c r="A26" s="142"/>
      <c r="B26" s="49" t="s">
        <v>248</v>
      </c>
      <c r="D26" s="158">
        <f>IF(D25&gt;0,MAX(D24-1+2*D25,D24),0)</f>
        <v>3.15</v>
      </c>
      <c r="F26" s="159" t="s">
        <v>317</v>
      </c>
      <c r="G26" s="160">
        <f>IF(-G22&gt;0,MAX(ROUNDUP(-G22/'DP Settings'!I147,0),VLOOKUP(B7,'DP Settings'!E1:N25,10,FALSE)),0)</f>
        <v>0</v>
      </c>
      <c r="H26" s="161">
        <f>G26</f>
        <v>0</v>
      </c>
      <c r="I26" s="160">
        <f>IF(-I22&gt;0,MAX(ROUNDUP(-I22/'DP Settings'!I148,0),VLOOKUP(B7,'DP Settings'!E1:N25,10,FALSE)),0)</f>
        <v>2</v>
      </c>
      <c r="J26" s="162">
        <f>I26</f>
        <v>2</v>
      </c>
      <c r="K26" s="159" t="s">
        <v>317</v>
      </c>
      <c r="L26" s="161">
        <f>IF(-L22&gt;0,MAX(ROUNDUP(-L22/'DP Settings'!I139,0),VLOOKUP(B7,'DP Settings'!E1:N25,10,FALSE)),0)</f>
        <v>3</v>
      </c>
      <c r="M26" s="161">
        <f>L26</f>
        <v>3</v>
      </c>
      <c r="N26" s="160">
        <f>IF(-N22&gt;0,MAX(ROUNDUP(-N22/'DP Settings'!I140,0),VLOOKUP(B7,'DP Settings'!E1:N25,10,FALSE)),0)</f>
        <v>6</v>
      </c>
      <c r="O26" s="162">
        <f>N26</f>
        <v>6</v>
      </c>
    </row>
    <row r="27" spans="1:15" ht="15.75" thickBot="1" x14ac:dyDescent="0.3">
      <c r="A27" s="142"/>
      <c r="B27" s="49"/>
      <c r="D27" s="13"/>
      <c r="F27" s="163" t="s">
        <v>146</v>
      </c>
      <c r="G27" s="164" t="str">
        <f>IF(G26&gt;0,(E7-(0.94*2))/(G26-1),"NO ANCHORS")</f>
        <v>NO ANCHORS</v>
      </c>
      <c r="H27" s="164" t="str">
        <f>IF(H26&gt;0,(E7-(0.94*2))/(H26-1),"NO ANCHORS")</f>
        <v>NO ANCHORS</v>
      </c>
      <c r="I27" s="165">
        <f>IF(I26&gt;0,(E7-(0.94*2))/(I26-1),"NO ANCHORS")</f>
        <v>4.07</v>
      </c>
      <c r="J27" s="136">
        <f>IF(J26&gt;0,(E7-(0.94*2))/(J26-1),"NO ANCHORS")</f>
        <v>4.07</v>
      </c>
      <c r="K27" s="163" t="s">
        <v>146</v>
      </c>
      <c r="L27" s="166">
        <f>IF(L26&gt;0,(E7-(0.94*2))/(L26-1),"NO ANCHORS")</f>
        <v>2.0350000000000001</v>
      </c>
      <c r="M27" s="166">
        <f>IF(M26&gt;0,(E7-(0.94*2))/(M26-1),"NO ANCHORS")</f>
        <v>2.0350000000000001</v>
      </c>
      <c r="N27" s="167">
        <f>IF(N26&gt;0,(E7-(0.94*2))/(N26-1),"NO ANCHORS")</f>
        <v>0.81400000000000006</v>
      </c>
      <c r="O27" s="147">
        <f>IF(O26&gt;0,(E7-(0.94*2))/(O26-1),"NO ANCHORS")</f>
        <v>0.81400000000000006</v>
      </c>
    </row>
    <row r="28" spans="1:15" x14ac:dyDescent="0.25">
      <c r="A28" s="142"/>
      <c r="B28" s="49"/>
      <c r="D28" s="168" t="s">
        <v>247</v>
      </c>
      <c r="F28" s="169" t="s">
        <v>316</v>
      </c>
      <c r="G28" s="203"/>
      <c r="H28" s="203"/>
      <c r="I28" s="197"/>
      <c r="J28" s="192"/>
      <c r="K28" s="170" t="s">
        <v>316</v>
      </c>
      <c r="L28" s="203"/>
      <c r="M28" s="203"/>
      <c r="N28" s="204"/>
      <c r="O28" s="205"/>
    </row>
    <row r="29" spans="1:15" ht="15.75" thickBot="1" x14ac:dyDescent="0.3">
      <c r="A29" s="142"/>
      <c r="B29" s="49" t="s">
        <v>242</v>
      </c>
      <c r="D29" s="158">
        <f>D24-('DP Settings'!B20/1000)</f>
        <v>2.85</v>
      </c>
      <c r="F29" s="163" t="s">
        <v>146</v>
      </c>
      <c r="G29" s="166" t="str">
        <f>IF(G28&gt;0,IF( ((E7-(0.94*2))/(G28-1))&lt; 'DP Settings'!B126, "SPACING ERROR",(E7-(0.94*2))/(G28-1)),"NO ANCHORS")</f>
        <v>NO ANCHORS</v>
      </c>
      <c r="H29" s="166" t="str">
        <f>IF(H28&gt;0,IF( ((E7-(0.94*2))/(H28-1))&lt; 'DP Settings'!B126, "SPACING ERROR",(E7-(0.94*2))/(H28-1)),"NO ANCHORS")</f>
        <v>NO ANCHORS</v>
      </c>
      <c r="I29" s="167" t="str">
        <f>IF(I28&gt;0,IF( ((E7-(0.94*2))/(I28-1))&lt; 'DP Settings'!B126, "SPACING ERROR",(E7-(0.94*2))/(I28-1)),"NO ANCHORS")</f>
        <v>NO ANCHORS</v>
      </c>
      <c r="J29" s="147" t="str">
        <f>IF(J28&gt;0,IF( ((E7-(0.94*2))/(J28-1))&lt; 'DP Settings'!B126, "SPACING ERROR",(E7-(0.94*2))/(J28-1)),"NO ANCHORS")</f>
        <v>NO ANCHORS</v>
      </c>
      <c r="K29" s="163" t="s">
        <v>146</v>
      </c>
      <c r="L29" s="166" t="str">
        <f>IF(L28&gt;0,IF( ((E7-(0.94*2))/(L28-1))&lt; 'DP Settings'!B126, "SPACING ERROR",(E7-(0.94*2))/(L28-1)),"NO ANCHORS")</f>
        <v>NO ANCHORS</v>
      </c>
      <c r="M29" s="166" t="str">
        <f>IF(M28&gt;0,IF( ((E7-(0.94*2))/(M28-1))&lt; 'DP Settings'!B126, "SPACING ERROR",(E7-(0.94*2))/(M28-1)),"NO ANCHORS")</f>
        <v>NO ANCHORS</v>
      </c>
      <c r="N29" s="167" t="str">
        <f>IF(N28&gt;0,IF( ((E7-(0.94*2))/(N28-1))&lt; 'DP Settings'!B126, "SPACING ERROR",(E7-(0.94*2))/(N28-1)),"NO ANCHORS")</f>
        <v>NO ANCHORS</v>
      </c>
      <c r="O29" s="147" t="str">
        <f>IF(O28&gt;0,IF( ((E7-(0.94*2))/(O28-1))&lt; 'DP Settings'!B126, "SPACING ERROR",(E7-(0.94*2))/(O28-1)),"NO ANCHORS")</f>
        <v>NO ANCHORS</v>
      </c>
    </row>
    <row r="30" spans="1:15" x14ac:dyDescent="0.25">
      <c r="A30" s="142"/>
      <c r="B30" s="49" t="s">
        <v>243</v>
      </c>
      <c r="D30" s="193">
        <v>0.5</v>
      </c>
      <c r="F30" s="171" t="str">
        <f>IF(G26&gt;0,IF(G27&lt;'DP Settings'!B126,"INSUFFICIENT SPACING FOR ANCHORS (UN-FACTORED)", ""),"")</f>
        <v/>
      </c>
      <c r="K30" s="171" t="str">
        <f>IF(L26&gt;0,IF(L27&lt;'DP Settings'!B126,"INSUFFICIENT SPACING FOR ANCHORS (UN-FACTORED)", ""),"")</f>
        <v/>
      </c>
      <c r="O30" s="172"/>
    </row>
    <row r="31" spans="1:15" ht="15.75" thickBot="1" x14ac:dyDescent="0.3">
      <c r="A31" s="134"/>
      <c r="B31" s="135" t="s">
        <v>248</v>
      </c>
      <c r="C31" s="33"/>
      <c r="D31" s="136">
        <f>IF(D30&gt;0,MAX(D29-1+2*D30,D29),0)</f>
        <v>2.85</v>
      </c>
      <c r="F31" s="173" t="str">
        <f>IF(I26&gt;0,IF(I27&lt;'DP Settings'!B126,"INSUFFICIENT SPACING FOR ANCHORS (FACTORED)", ""),"")</f>
        <v/>
      </c>
      <c r="K31" s="173" t="str">
        <f>IF(N26&gt;0,IF(N27&lt;'DP Settings'!B126,"INSUFFICIENT SPACING FOR ANCHORS (FACTORED)", ""),"")</f>
        <v/>
      </c>
      <c r="O31" s="174"/>
    </row>
    <row r="32" spans="1:15" x14ac:dyDescent="0.25">
      <c r="F32" s="173" t="str">
        <f>IF(G26&gt;0, IF((G23/(G26*2))&gt;'DP Settings'!D119, "ANCHOR BREAKING LOAD EXCEEDED (UN-FACTORED) " &amp; (G23/(G26*2)) &amp; " &gt; " &amp; 'DP Settings'!D119," ")," " )</f>
        <v xml:space="preserve"> </v>
      </c>
      <c r="K32" s="175" t="str">
        <f>IF(L26&gt;0, IF((L23/(L26*2))&gt;'DP Settings'!D119, "ANCHOR BREAKING LOAD EXCEEDED (UN-FACTORED) " &amp; (L23/(L26*2)) &amp; " &gt; " &amp; 'DP Settings'!D119," ")," " )</f>
        <v xml:space="preserve"> </v>
      </c>
      <c r="O32" s="174"/>
    </row>
    <row r="33" spans="1:15" ht="15" customHeight="1" thickBot="1" x14ac:dyDescent="0.3">
      <c r="A33" s="96" t="s">
        <v>340</v>
      </c>
      <c r="B33" s="39" t="s">
        <v>341</v>
      </c>
      <c r="F33" s="176" t="str">
        <f>IF(I26&gt;0, IF((I23/(I26*2))&gt;'DP Settings'!D119, "ANCHOR BREAKING LOAD EXCEEDED FACTORED " &amp; (I23/(I26*2)) &amp; " &gt; " &amp; 'DP Settings'!D119," ")," " )</f>
        <v xml:space="preserve"> </v>
      </c>
      <c r="K33" s="176" t="str">
        <f>IF(N26&gt;0, IF((N23/(N26*2))&gt;'DP Settings'!D119, "ANCHOR BREAKING LOAD EXCEEDED (FACTORED) " &amp; (N23/(N26*2)) &amp; " &gt; " &amp; 'DP Settings'!D119," ")," " )</f>
        <v xml:space="preserve"> </v>
      </c>
      <c r="L33" s="33"/>
      <c r="M33" s="33"/>
      <c r="N33" s="33"/>
      <c r="O33" s="177"/>
    </row>
    <row r="34" spans="1:15" x14ac:dyDescent="0.25">
      <c r="F34" s="178" t="s">
        <v>318</v>
      </c>
      <c r="G34" s="107"/>
      <c r="H34" s="179" t="s">
        <v>278</v>
      </c>
      <c r="I34" s="10"/>
      <c r="J34" s="180" t="s">
        <v>276</v>
      </c>
      <c r="K34" s="181" t="s">
        <v>277</v>
      </c>
      <c r="O34" s="5"/>
    </row>
    <row r="35" spans="1:15" x14ac:dyDescent="0.25">
      <c r="F35" s="12"/>
      <c r="G35" s="79"/>
      <c r="H35" s="39" t="s">
        <v>275</v>
      </c>
      <c r="K35" s="13"/>
      <c r="O35" s="5"/>
    </row>
    <row r="36" spans="1:15" ht="15.75" thickBot="1" x14ac:dyDescent="0.3">
      <c r="F36" s="37"/>
      <c r="G36" s="182" t="s">
        <v>315</v>
      </c>
      <c r="H36" s="183" t="s">
        <v>319</v>
      </c>
      <c r="I36" s="33"/>
      <c r="J36" s="182" t="s">
        <v>298</v>
      </c>
      <c r="K36" s="184">
        <v>1000</v>
      </c>
      <c r="O36" s="5"/>
    </row>
    <row r="39" spans="1:15" x14ac:dyDescent="0.25">
      <c r="A39" s="185"/>
      <c r="B39" s="186"/>
      <c r="C39" s="186"/>
      <c r="D39" s="186"/>
      <c r="E39" s="186"/>
      <c r="F39" s="186"/>
      <c r="G39" s="187" t="s">
        <v>299</v>
      </c>
      <c r="H39" s="187" t="s">
        <v>300</v>
      </c>
      <c r="I39" s="187" t="s">
        <v>301</v>
      </c>
      <c r="J39" s="186"/>
      <c r="K39" s="186"/>
      <c r="L39" s="186"/>
      <c r="M39" s="186"/>
      <c r="N39" s="186"/>
      <c r="O39" s="185"/>
    </row>
    <row r="40" spans="1:15" x14ac:dyDescent="0.25">
      <c r="A40" s="185"/>
      <c r="B40" s="186"/>
      <c r="C40" s="186"/>
      <c r="D40" s="186"/>
      <c r="E40" s="186"/>
      <c r="F40" s="186"/>
      <c r="G40" s="187"/>
      <c r="H40" s="187"/>
      <c r="I40" s="187"/>
      <c r="J40" s="186"/>
      <c r="K40" s="186"/>
      <c r="L40" s="186"/>
      <c r="M40" s="186"/>
      <c r="N40" s="186"/>
      <c r="O40" s="185"/>
    </row>
    <row r="41" spans="1:15" x14ac:dyDescent="0.25">
      <c r="A41" s="185"/>
      <c r="B41" s="186"/>
      <c r="C41" s="186"/>
      <c r="D41" s="186"/>
      <c r="E41" s="186"/>
      <c r="F41" s="186"/>
      <c r="G41" s="187" t="s">
        <v>302</v>
      </c>
      <c r="H41" s="187" t="s">
        <v>300</v>
      </c>
      <c r="I41" s="187"/>
      <c r="J41" s="186"/>
      <c r="K41" s="186"/>
      <c r="L41" s="186"/>
      <c r="M41" s="186"/>
      <c r="N41" s="186"/>
      <c r="O41" s="185"/>
    </row>
    <row r="42" spans="1:15" x14ac:dyDescent="0.25">
      <c r="A42" s="185"/>
      <c r="B42" s="186"/>
      <c r="C42" s="186"/>
      <c r="D42" s="186"/>
      <c r="E42" s="186"/>
      <c r="F42" s="186"/>
      <c r="G42" s="187" t="s">
        <v>47</v>
      </c>
      <c r="H42" s="187" t="s">
        <v>314</v>
      </c>
      <c r="I42" s="187"/>
      <c r="J42" s="186"/>
      <c r="K42" s="186"/>
      <c r="L42" s="186"/>
      <c r="M42" s="186"/>
      <c r="N42" s="186"/>
      <c r="O42" s="185"/>
    </row>
    <row r="43" spans="1:15" x14ac:dyDescent="0.25">
      <c r="A43" s="185"/>
      <c r="B43" s="186"/>
      <c r="C43" s="186"/>
      <c r="D43" s="186"/>
      <c r="E43" s="186"/>
      <c r="F43" s="186"/>
      <c r="G43" s="187" t="s">
        <v>303</v>
      </c>
      <c r="H43" s="187" t="s">
        <v>304</v>
      </c>
      <c r="I43" s="187" t="s">
        <v>305</v>
      </c>
      <c r="J43" s="186"/>
      <c r="K43" s="186"/>
      <c r="L43" s="186"/>
      <c r="M43" s="186"/>
      <c r="N43" s="186"/>
      <c r="O43" s="185"/>
    </row>
    <row r="44" spans="1:15" x14ac:dyDescent="0.25">
      <c r="A44" s="185"/>
      <c r="B44" s="186"/>
      <c r="C44" s="186"/>
      <c r="D44" s="186"/>
      <c r="E44" s="186"/>
      <c r="F44" s="186"/>
      <c r="G44" s="187"/>
      <c r="H44" s="187" t="s">
        <v>306</v>
      </c>
      <c r="I44" s="187" t="s">
        <v>307</v>
      </c>
      <c r="J44" s="186"/>
      <c r="K44" s="186"/>
      <c r="L44" s="186"/>
      <c r="M44" s="186"/>
      <c r="N44" s="186"/>
      <c r="O44" s="185"/>
    </row>
    <row r="45" spans="1:15" x14ac:dyDescent="0.25">
      <c r="A45" s="185"/>
      <c r="B45" s="186"/>
      <c r="C45" s="186"/>
      <c r="D45" s="186"/>
      <c r="E45" s="186"/>
      <c r="F45" s="186"/>
      <c r="G45" s="187"/>
      <c r="H45" s="187"/>
      <c r="I45" s="187"/>
      <c r="J45" s="186"/>
      <c r="K45" s="186"/>
      <c r="L45" s="186"/>
      <c r="M45" s="186"/>
      <c r="N45" s="186"/>
      <c r="O45" s="185"/>
    </row>
    <row r="46" spans="1:15" x14ac:dyDescent="0.25">
      <c r="A46" s="185"/>
      <c r="B46" s="186"/>
      <c r="C46" s="186"/>
      <c r="D46" s="186"/>
      <c r="E46" s="186"/>
      <c r="F46" s="186"/>
      <c r="G46" s="187" t="s">
        <v>308</v>
      </c>
      <c r="H46" s="187"/>
      <c r="I46" s="187" t="s">
        <v>309</v>
      </c>
      <c r="J46" s="186"/>
      <c r="K46" s="186"/>
      <c r="L46" s="186"/>
      <c r="M46" s="186"/>
      <c r="N46" s="186"/>
      <c r="O46" s="185"/>
    </row>
    <row r="47" spans="1:15" x14ac:dyDescent="0.25">
      <c r="A47" s="185"/>
      <c r="B47" s="186"/>
      <c r="C47" s="186"/>
      <c r="D47" s="186"/>
      <c r="E47" s="186"/>
      <c r="F47" s="186"/>
      <c r="G47" s="187" t="s">
        <v>310</v>
      </c>
      <c r="H47" s="187"/>
      <c r="I47" s="187" t="s">
        <v>313</v>
      </c>
      <c r="J47" s="186"/>
      <c r="K47" s="186"/>
      <c r="L47" s="186"/>
      <c r="M47" s="186"/>
      <c r="N47" s="186"/>
      <c r="O47" s="185"/>
    </row>
    <row r="48" spans="1:15" x14ac:dyDescent="0.25">
      <c r="A48" s="185"/>
      <c r="B48" s="186"/>
      <c r="C48" s="186"/>
      <c r="D48" s="186"/>
      <c r="E48" s="186"/>
      <c r="F48" s="186"/>
      <c r="G48" s="187" t="s">
        <v>311</v>
      </c>
      <c r="H48" s="187"/>
      <c r="I48" s="187" t="s">
        <v>312</v>
      </c>
      <c r="J48" s="186"/>
      <c r="K48" s="186"/>
      <c r="L48" s="186"/>
      <c r="M48" s="186"/>
      <c r="N48" s="186"/>
      <c r="O48" s="185"/>
    </row>
    <row r="49" spans="1:15" x14ac:dyDescent="0.25">
      <c r="A49" s="185"/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5"/>
    </row>
    <row r="50" spans="1:15" x14ac:dyDescent="0.25">
      <c r="A50" s="185"/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5"/>
    </row>
    <row r="51" spans="1:15" x14ac:dyDescent="0.25">
      <c r="A51" s="185"/>
      <c r="B51" s="186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5"/>
    </row>
    <row r="52" spans="1:15" x14ac:dyDescent="0.25"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5"/>
    </row>
    <row r="53" spans="1:15" x14ac:dyDescent="0.25"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5"/>
    </row>
    <row r="54" spans="1:15" x14ac:dyDescent="0.25"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5"/>
    </row>
    <row r="55" spans="1:15" x14ac:dyDescent="0.25"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5"/>
    </row>
    <row r="56" spans="1:15" x14ac:dyDescent="0.25"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5"/>
    </row>
    <row r="57" spans="1:15" x14ac:dyDescent="0.25"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5"/>
    </row>
    <row r="58" spans="1:15" x14ac:dyDescent="0.25"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5"/>
    </row>
    <row r="59" spans="1:15" x14ac:dyDescent="0.25"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5"/>
    </row>
    <row r="60" spans="1:15" x14ac:dyDescent="0.25"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5"/>
    </row>
    <row r="61" spans="1:15" x14ac:dyDescent="0.25"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5"/>
    </row>
    <row r="62" spans="1:15" x14ac:dyDescent="0.25"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5"/>
    </row>
    <row r="63" spans="1:15" x14ac:dyDescent="0.25"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5"/>
    </row>
    <row r="64" spans="1:15" x14ac:dyDescent="0.25"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5"/>
    </row>
    <row r="65" spans="2:15" x14ac:dyDescent="0.25"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5"/>
    </row>
    <row r="66" spans="2:15" x14ac:dyDescent="0.25"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5"/>
    </row>
    <row r="67" spans="2:15" x14ac:dyDescent="0.25"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5"/>
    </row>
    <row r="68" spans="2:15" x14ac:dyDescent="0.25"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5"/>
    </row>
    <row r="69" spans="2:15" x14ac:dyDescent="0.25"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5"/>
    </row>
    <row r="70" spans="2:15" x14ac:dyDescent="0.25"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5"/>
    </row>
    <row r="71" spans="2:15" x14ac:dyDescent="0.25"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5"/>
    </row>
    <row r="72" spans="2:15" x14ac:dyDescent="0.25"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5"/>
    </row>
    <row r="73" spans="2:15" x14ac:dyDescent="0.25">
      <c r="B73" s="186"/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5"/>
    </row>
    <row r="74" spans="2:15" x14ac:dyDescent="0.25"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5"/>
    </row>
    <row r="75" spans="2:15" x14ac:dyDescent="0.25"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5"/>
    </row>
    <row r="76" spans="2:15" x14ac:dyDescent="0.25"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5"/>
    </row>
    <row r="77" spans="2:15" x14ac:dyDescent="0.25"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5"/>
    </row>
    <row r="78" spans="2:15" x14ac:dyDescent="0.25"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5"/>
    </row>
    <row r="79" spans="2:15" x14ac:dyDescent="0.25"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5"/>
    </row>
    <row r="80" spans="2:15" x14ac:dyDescent="0.25"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5"/>
    </row>
    <row r="81" spans="2:15" x14ac:dyDescent="0.25"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5"/>
    </row>
    <row r="82" spans="2:15" x14ac:dyDescent="0.25"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5"/>
    </row>
    <row r="83" spans="2:15" x14ac:dyDescent="0.25"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5"/>
    </row>
    <row r="84" spans="2:15" x14ac:dyDescent="0.25"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5"/>
    </row>
    <row r="85" spans="2:15" x14ac:dyDescent="0.25"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5"/>
    </row>
    <row r="86" spans="2:15" x14ac:dyDescent="0.25">
      <c r="B86" s="186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5"/>
    </row>
    <row r="87" spans="2:15" x14ac:dyDescent="0.25">
      <c r="B87" s="186"/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5"/>
    </row>
    <row r="88" spans="2:15" x14ac:dyDescent="0.25"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5"/>
    </row>
    <row r="89" spans="2:15" x14ac:dyDescent="0.25"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5"/>
    </row>
    <row r="90" spans="2:15" x14ac:dyDescent="0.25"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5"/>
    </row>
    <row r="91" spans="2:15" x14ac:dyDescent="0.25"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5"/>
    </row>
    <row r="92" spans="2:15" x14ac:dyDescent="0.25"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5"/>
    </row>
    <row r="93" spans="2:15" x14ac:dyDescent="0.25"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5"/>
    </row>
    <row r="94" spans="2:15" x14ac:dyDescent="0.25"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5"/>
    </row>
    <row r="95" spans="2:15" x14ac:dyDescent="0.25">
      <c r="B95" s="186"/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5"/>
    </row>
    <row r="96" spans="2:15" x14ac:dyDescent="0.25"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5"/>
    </row>
    <row r="97" spans="2:15" x14ac:dyDescent="0.25"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5"/>
    </row>
    <row r="98" spans="2:15" x14ac:dyDescent="0.25">
      <c r="B98" s="186"/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5"/>
    </row>
    <row r="99" spans="2:15" x14ac:dyDescent="0.25"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5"/>
    </row>
  </sheetData>
  <sheetProtection algorithmName="SHA-512" hashValue="RyF8tijbQl49VrqeZIdhlToWCPp4QQiFJcJefeFnPv4Jubj8vLm7CdxtgL3ijV/IZEWT5lSWeSm8XeLLuEf4aA==" saltValue="oGBbJ4FKNxzo3FcZacOgYw==" spinCount="100000" sheet="1" objects="1" scenarios="1"/>
  <dataValidations count="8">
    <dataValidation type="whole" allowBlank="1" showInputMessage="1" showErrorMessage="1" sqref="G7" xr:uid="{2F9AB993-5D4F-4097-9AEA-B4E92BF199EC}">
      <formula1>0</formula1>
      <formula2>1200</formula2>
    </dataValidation>
    <dataValidation type="decimal" allowBlank="1" showInputMessage="1" showErrorMessage="1" sqref="D13:D15" xr:uid="{D4AC0CF1-97B9-4040-8449-0FA5CCE9E14C}">
      <formula1>0</formula1>
      <formula2>0.85</formula2>
    </dataValidation>
    <dataValidation type="decimal" allowBlank="1" showInputMessage="1" showErrorMessage="1" sqref="D16" xr:uid="{845DBEF4-A089-4C7A-AC3B-70DC6F7709BA}">
      <formula1>0.15</formula1>
      <formula2>0.85</formula2>
    </dataValidation>
    <dataValidation type="decimal" allowBlank="1" showInputMessage="1" showErrorMessage="1" sqref="D19" xr:uid="{BF98B9FA-175D-4666-A246-5098D356B430}">
      <formula1>0.1</formula1>
      <formula2>1</formula2>
    </dataValidation>
    <dataValidation type="decimal" allowBlank="1" showInputMessage="1" showErrorMessage="1" sqref="D20" xr:uid="{AD31089A-0BFC-4FD2-B2B9-DE94B854F7CA}">
      <formula1>1</formula1>
      <formula2>3</formula2>
    </dataValidation>
    <dataValidation type="decimal" allowBlank="1" showInputMessage="1" showErrorMessage="1" sqref="D25 D30" xr:uid="{07FC6002-7E3E-4D3E-833B-3866006B3929}">
      <formula1>0</formula1>
      <formula2>10</formula2>
    </dataValidation>
    <dataValidation type="decimal" allowBlank="1" showInputMessage="1" showErrorMessage="1" promptTitle="Enter Porosity" prompt="Enter a value between 0 and 1_x000a_0 means all water excluded (displaced)_x000a_" sqref="I13:I16" xr:uid="{B633F3B0-B4A7-4DEE-A64F-1392D216F5C3}">
      <formula1>0</formula1>
      <formula2>1</formula2>
    </dataValidation>
    <dataValidation type="whole" allowBlank="1" showInputMessage="1" showErrorMessage="1" promptTitle="How many anchors do you want?" prompt="Enter the number of anchors you want._x000a_Minimum is 2 for any tank. Use blank for none." sqref="G28:J28 L28:O28" xr:uid="{752DA821-B99D-49BE-B823-4C9B2873B6E4}">
      <formula1>2</formula1>
      <formula2>25</formula2>
    </dataValidation>
  </dataValidations>
  <hyperlinks>
    <hyperlink ref="A1" location="Tank_Sizes__Dimensions___Buoyancy" display="Menu" xr:uid="{C7857EE2-59BC-4817-823F-6DFAB1FA995D}"/>
  </hyperlinks>
  <pageMargins left="0.7" right="0.7" top="0.75" bottom="0.75" header="0.3" footer="0.3"/>
  <pageSetup paperSize="9" orientation="portrait" r:id="rId1"/>
  <ignoredErrors>
    <ignoredError sqref="H22:J22 I19:I21 I23 I26 M22 N19:N21 N23 N26 O22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B2FD5F-C7EE-4D7B-82C1-39A793214DE0}">
          <x14:formula1>
            <xm:f>'DP Settings'!$E$2:$E$25</xm:f>
          </x14:formula1>
          <xm:sqref>B7</xm:sqref>
        </x14:dataValidation>
        <x14:dataValidation type="list" allowBlank="1" showInputMessage="1" showErrorMessage="1" promptTitle="Pick the finish layer" prompt="Concrete Residential driveway_x000a_Concrete Commercial driveway_x000a_Other finish" xr:uid="{8DCD4B10-0902-413B-8720-397C8E364C50}">
          <x14:formula1>
            <xm:f>'DP Settings'!$A$161:$A$163</xm:f>
          </x14:formula1>
          <xm:sqref>E13</xm:sqref>
        </x14:dataValidation>
        <x14:dataValidation type="list" allowBlank="1" showInputMessage="1" showErrorMessage="1" xr:uid="{53630957-E391-4250-BE95-FE81F4EA2805}">
          <x14:formula1>
            <xm:f>'DP Settings'!$B$30:$B$32</xm:f>
          </x14:formula1>
          <xm:sqref>I4</xm:sqref>
        </x14:dataValidation>
        <x14:dataValidation type="list" allowBlank="1" showInputMessage="1" showErrorMessage="1" xr:uid="{7BA361CF-AFDB-4047-8210-970A8D676395}">
          <x14:formula1>
            <xm:f>'DP Settings'!$B$31:$B$33</xm:f>
          </x14:formula1>
          <xm:sqref>J4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56F23-33B5-47DE-ACDF-528639AE171B}">
  <sheetPr>
    <pageSetUpPr fitToPage="1"/>
  </sheetPr>
  <dimension ref="A1:N36"/>
  <sheetViews>
    <sheetView zoomScale="85" zoomScaleNormal="85" workbookViewId="0">
      <selection activeCell="N34" sqref="N34"/>
    </sheetView>
  </sheetViews>
  <sheetFormatPr defaultColWidth="8.7109375" defaultRowHeight="15" x14ac:dyDescent="0.25"/>
  <cols>
    <col min="1" max="1" width="8.7109375" style="6"/>
    <col min="2" max="3" width="18.7109375" style="5" customWidth="1"/>
    <col min="4" max="4" width="17.7109375" style="5" customWidth="1"/>
    <col min="5" max="5" width="20.7109375" style="5" customWidth="1"/>
    <col min="6" max="7" width="18.7109375" style="5" customWidth="1"/>
    <col min="8" max="8" width="19.7109375" style="5" customWidth="1"/>
    <col min="9" max="11" width="17.7109375" style="5" customWidth="1"/>
    <col min="12" max="12" width="18.7109375" style="5" customWidth="1"/>
    <col min="13" max="14" width="17.7109375" style="5" customWidth="1"/>
    <col min="15" max="15" width="17.7109375" style="6" customWidth="1"/>
    <col min="16" max="16384" width="8.7109375" style="6"/>
  </cols>
  <sheetData>
    <row r="1" spans="1:13" x14ac:dyDescent="0.25">
      <c r="A1" s="106" t="s">
        <v>21</v>
      </c>
    </row>
    <row r="2" spans="1:13" ht="15" customHeight="1" x14ac:dyDescent="0.25">
      <c r="G2" s="7" t="s">
        <v>291</v>
      </c>
      <c r="L2" s="8" t="str">
        <f>'DP Settings'!B2 &amp;" "&amp;'DP Settings'!B1</f>
        <v>Copyright © 2023 Devan Plastics Limited</v>
      </c>
    </row>
    <row r="3" spans="1:13" ht="15.75" thickBot="1" x14ac:dyDescent="0.3"/>
    <row r="4" spans="1:13" x14ac:dyDescent="0.25">
      <c r="B4" s="9" t="s">
        <v>23</v>
      </c>
      <c r="C4" s="10" t="s">
        <v>25</v>
      </c>
      <c r="D4" s="10" t="s">
        <v>25</v>
      </c>
      <c r="E4" s="10"/>
      <c r="F4" s="10"/>
      <c r="G4" s="10" t="str">
        <f>I4</f>
        <v>Retention</v>
      </c>
      <c r="H4" s="10" t="str">
        <f>I4</f>
        <v>Retention</v>
      </c>
      <c r="I4" s="109" t="s">
        <v>30</v>
      </c>
      <c r="J4" s="109" t="s">
        <v>32</v>
      </c>
      <c r="K4" s="10" t="s">
        <v>34</v>
      </c>
      <c r="L4" s="10" t="s">
        <v>36</v>
      </c>
      <c r="M4" s="11" t="s">
        <v>37</v>
      </c>
    </row>
    <row r="5" spans="1:13" x14ac:dyDescent="0.25">
      <c r="B5" s="12" t="s">
        <v>26</v>
      </c>
      <c r="C5" s="5" t="s">
        <v>26</v>
      </c>
      <c r="D5" s="5" t="s">
        <v>27</v>
      </c>
      <c r="E5" s="5" t="s">
        <v>28</v>
      </c>
      <c r="F5" s="5" t="s">
        <v>29</v>
      </c>
      <c r="G5" s="5" t="s">
        <v>31</v>
      </c>
      <c r="H5" s="5" t="s">
        <v>31</v>
      </c>
      <c r="I5" s="5" t="s">
        <v>27</v>
      </c>
      <c r="J5" s="5" t="s">
        <v>27</v>
      </c>
      <c r="K5" s="5" t="s">
        <v>35</v>
      </c>
      <c r="L5" s="5" t="s">
        <v>35</v>
      </c>
      <c r="M5" s="13" t="s">
        <v>38</v>
      </c>
    </row>
    <row r="6" spans="1:13" ht="15.75" thickBot="1" x14ac:dyDescent="0.3">
      <c r="B6" s="12" t="s">
        <v>24</v>
      </c>
      <c r="G6" s="5" t="s">
        <v>33</v>
      </c>
      <c r="H6" s="5" t="s">
        <v>39</v>
      </c>
      <c r="L6" s="5" t="s">
        <v>111</v>
      </c>
      <c r="M6" s="13"/>
    </row>
    <row r="7" spans="1:13" ht="15.75" thickBot="1" x14ac:dyDescent="0.3">
      <c r="B7" s="111">
        <v>10</v>
      </c>
      <c r="C7" s="14">
        <f>D7/1000</f>
        <v>10.031000000000001</v>
      </c>
      <c r="D7" s="14">
        <f>VLOOKUP(B7,'DP Settings'!E2:G25,3,FALSE)</f>
        <v>10031</v>
      </c>
      <c r="E7" s="14">
        <f>VLOOKUP(B7,'DP Settings'!E2:K25,4,FALSE)</f>
        <v>9.65</v>
      </c>
      <c r="F7" s="14">
        <f>ROUNDDOWN(VLOOKUP(B7,'DP Settings'!E2:I25,5,FALSE),0)</f>
        <v>657</v>
      </c>
      <c r="G7" s="110">
        <v>300</v>
      </c>
      <c r="H7" s="15">
        <f>G7+'DP Settings'!B20</f>
        <v>600</v>
      </c>
      <c r="I7" s="14">
        <f>ROUNDUP(VLOOKUP(B7,'DP Settings'!E2:L25,8,FALSE)*(('DP Settings'!C73^2)/2)*(('DP Settings'!B28-SIN('DP Settings'!B28))*1000),0)</f>
        <v>1962</v>
      </c>
      <c r="J7" s="14">
        <f>D7-I7</f>
        <v>8069</v>
      </c>
      <c r="K7" s="14">
        <f>'DP Settings'!B21</f>
        <v>1200</v>
      </c>
      <c r="L7" s="14">
        <f>'DP Settings'!B22</f>
        <v>1330</v>
      </c>
      <c r="M7" s="16">
        <f>'DP Settings'!B23</f>
        <v>850</v>
      </c>
    </row>
    <row r="8" spans="1:13" ht="15.75" thickBot="1" x14ac:dyDescent="0.3"/>
    <row r="9" spans="1:13" x14ac:dyDescent="0.25">
      <c r="G9" s="17" t="s">
        <v>47</v>
      </c>
      <c r="H9" s="18" t="s">
        <v>47</v>
      </c>
      <c r="I9" s="18" t="s">
        <v>345</v>
      </c>
      <c r="J9" s="19" t="s">
        <v>47</v>
      </c>
      <c r="K9" s="18" t="s">
        <v>346</v>
      </c>
      <c r="L9" s="19" t="s">
        <v>47</v>
      </c>
    </row>
    <row r="10" spans="1:13" x14ac:dyDescent="0.25">
      <c r="G10" s="20" t="s">
        <v>31</v>
      </c>
      <c r="H10" s="21" t="s">
        <v>31</v>
      </c>
      <c r="I10" s="21" t="s">
        <v>27</v>
      </c>
      <c r="J10" s="22" t="s">
        <v>320</v>
      </c>
      <c r="K10" s="21" t="s">
        <v>27</v>
      </c>
      <c r="L10" s="22" t="s">
        <v>320</v>
      </c>
    </row>
    <row r="11" spans="1:13" ht="15.75" thickBot="1" x14ac:dyDescent="0.3">
      <c r="G11" s="23" t="s">
        <v>33</v>
      </c>
      <c r="H11" s="24" t="s">
        <v>39</v>
      </c>
      <c r="I11" s="24" t="s">
        <v>50</v>
      </c>
      <c r="J11" s="25" t="s">
        <v>321</v>
      </c>
      <c r="K11" s="24" t="s">
        <v>50</v>
      </c>
      <c r="L11" s="25" t="s">
        <v>321</v>
      </c>
    </row>
    <row r="12" spans="1:13" x14ac:dyDescent="0.25">
      <c r="G12" s="20">
        <v>1200</v>
      </c>
      <c r="H12" s="21">
        <f>G12+'DP Settings'!B20</f>
        <v>1500</v>
      </c>
      <c r="I12" s="21">
        <f>D7</f>
        <v>10031</v>
      </c>
      <c r="J12" s="26">
        <f>(I12/D7)*100</f>
        <v>100</v>
      </c>
      <c r="K12" s="21">
        <f t="shared" ref="K12:K22" si="0">I12-I13</f>
        <v>399</v>
      </c>
      <c r="L12" s="26">
        <f>(K12/D7)*100</f>
        <v>3.9776692254012564</v>
      </c>
    </row>
    <row r="13" spans="1:13" x14ac:dyDescent="0.25">
      <c r="G13" s="20">
        <v>1100</v>
      </c>
      <c r="H13" s="21">
        <f>G13+'DP Settings'!B20</f>
        <v>1400</v>
      </c>
      <c r="I13" s="21">
        <f>ROUNDUP(VLOOKUP(B7,'DP Settings'!E2:J25,6,FALSE)*(('DP Settings'!B24^2)/2)*(('DP Settings'!F32-SIN('DP Settings'!F32))*1000),0)</f>
        <v>9632</v>
      </c>
      <c r="J13" s="26">
        <f>(I13/D7)*100</f>
        <v>96.022330774598743</v>
      </c>
      <c r="K13" s="21">
        <f t="shared" si="0"/>
        <v>700</v>
      </c>
      <c r="L13" s="26">
        <f>(K13/D7)*100</f>
        <v>6.9783670621074672</v>
      </c>
    </row>
    <row r="14" spans="1:13" x14ac:dyDescent="0.25">
      <c r="G14" s="20">
        <v>1000</v>
      </c>
      <c r="H14" s="21">
        <f>G14+'DP Settings'!B20</f>
        <v>1300</v>
      </c>
      <c r="I14" s="21">
        <f>ROUNDUP(VLOOKUP(B7,'DP Settings'!E2:J25,6,FALSE)*(('DP Settings'!B24^2)/2)*(('DP Settings'!F33-SIN('DP Settings'!F33))*1000),0)</f>
        <v>8932</v>
      </c>
      <c r="J14" s="26">
        <f>(I14/D7)*100</f>
        <v>89.043963712491276</v>
      </c>
      <c r="K14" s="21">
        <f t="shared" si="0"/>
        <v>862</v>
      </c>
      <c r="L14" s="26">
        <f>(K14/D7)*100</f>
        <v>8.5933605821951939</v>
      </c>
    </row>
    <row r="15" spans="1:13" x14ac:dyDescent="0.25">
      <c r="G15" s="20">
        <v>900</v>
      </c>
      <c r="H15" s="21">
        <f>G15+'DP Settings'!B20</f>
        <v>1200</v>
      </c>
      <c r="I15" s="21">
        <f>ROUNDUP(VLOOKUP(B7,'DP Settings'!E2:J25,6,FALSE)*(('DP Settings'!B24^2)/2)*(('DP Settings'!F34-SIN('DP Settings'!F34))*1000),0)</f>
        <v>8070</v>
      </c>
      <c r="J15" s="26">
        <f>(I15/D7)*100</f>
        <v>80.450603130296088</v>
      </c>
      <c r="K15" s="21">
        <f t="shared" si="0"/>
        <v>966</v>
      </c>
      <c r="L15" s="26">
        <f>(K15/D7)*100</f>
        <v>9.6301465457083033</v>
      </c>
    </row>
    <row r="16" spans="1:13" x14ac:dyDescent="0.25">
      <c r="G16" s="20">
        <v>800</v>
      </c>
      <c r="H16" s="21">
        <f>G16+'DP Settings'!B20</f>
        <v>1100</v>
      </c>
      <c r="I16" s="21">
        <f>ROUNDUP(VLOOKUP(B7,'DP Settings'!E2:J25,6,FALSE)*(('DP Settings'!B24^2)/2)*(('DP Settings'!F35-SIN('DP Settings'!F35))*1000),0)</f>
        <v>7104</v>
      </c>
      <c r="J16" s="26">
        <f>(I16/D7)*100</f>
        <v>70.820456584587774</v>
      </c>
      <c r="K16" s="21">
        <f t="shared" si="0"/>
        <v>1029</v>
      </c>
      <c r="L16" s="26">
        <f>(K16/D7)*100</f>
        <v>10.258199581297976</v>
      </c>
    </row>
    <row r="17" spans="7:14" x14ac:dyDescent="0.25">
      <c r="G17" s="20">
        <v>700</v>
      </c>
      <c r="H17" s="21">
        <f>G17+'DP Settings'!B20</f>
        <v>1000</v>
      </c>
      <c r="I17" s="21">
        <f>ROUNDUP(VLOOKUP(B7,'DP Settings'!E2:J25,6,FALSE)*(('DP Settings'!B24^2)/2)*(('DP Settings'!F36-SIN('DP Settings'!F36))*1000),0)</f>
        <v>6075</v>
      </c>
      <c r="J17" s="26">
        <f>(I17/D7)*100</f>
        <v>60.562257003289801</v>
      </c>
      <c r="K17" s="21">
        <f t="shared" si="0"/>
        <v>1059</v>
      </c>
      <c r="L17" s="26">
        <f>(K17/D7)*100</f>
        <v>10.557272455388295</v>
      </c>
    </row>
    <row r="18" spans="7:14" x14ac:dyDescent="0.25">
      <c r="G18" s="20">
        <v>600</v>
      </c>
      <c r="H18" s="21">
        <f>G18+'DP Settings'!B20</f>
        <v>900</v>
      </c>
      <c r="I18" s="21">
        <f>ROUNDUP(VLOOKUP(B7,'DP Settings'!E2:J25,6,FALSE)*(('DP Settings'!B24^2)/2)*(('DP Settings'!F37-SIN('DP Settings'!F37))*1000),0)</f>
        <v>5016</v>
      </c>
      <c r="J18" s="26">
        <f>(I18/D7)*100</f>
        <v>50.004984547901508</v>
      </c>
      <c r="K18" s="21">
        <f t="shared" si="0"/>
        <v>1060</v>
      </c>
      <c r="L18" s="26">
        <f>(K18/D7)*100</f>
        <v>10.567241551191307</v>
      </c>
    </row>
    <row r="19" spans="7:14" x14ac:dyDescent="0.25">
      <c r="G19" s="20">
        <v>500</v>
      </c>
      <c r="H19" s="21">
        <f>G19+'DP Settings'!B20</f>
        <v>800</v>
      </c>
      <c r="I19" s="21">
        <f>ROUNDUP(VLOOKUP(B7,'DP Settings'!E2:J25,6,FALSE)*(('DP Settings'!B24^2)/2)*(('DP Settings'!F38-SIN('DP Settings'!F38))*1000),0)</f>
        <v>3956</v>
      </c>
      <c r="J19" s="26">
        <f>(I19/D7)*100</f>
        <v>39.437742996710199</v>
      </c>
      <c r="K19" s="21">
        <f t="shared" si="0"/>
        <v>1029</v>
      </c>
      <c r="L19" s="26">
        <f>(K19/D7)*100</f>
        <v>10.258199581297976</v>
      </c>
    </row>
    <row r="20" spans="7:14" x14ac:dyDescent="0.25">
      <c r="G20" s="20">
        <v>400</v>
      </c>
      <c r="H20" s="21">
        <f>G20+'DP Settings'!B20</f>
        <v>700</v>
      </c>
      <c r="I20" s="21">
        <f>ROUNDUP(VLOOKUP(B7,'DP Settings'!E2:J25,6,FALSE)*(('DP Settings'!B24^2)/2)*(('DP Settings'!F39-SIN('DP Settings'!F39))*1000),0)</f>
        <v>2927</v>
      </c>
      <c r="J20" s="26">
        <f>(I20/D7)*100</f>
        <v>29.179543415412223</v>
      </c>
      <c r="K20" s="21">
        <f t="shared" si="0"/>
        <v>966</v>
      </c>
      <c r="L20" s="26">
        <f>(K20/D7)*100</f>
        <v>9.6301465457083033</v>
      </c>
    </row>
    <row r="21" spans="7:14" x14ac:dyDescent="0.25">
      <c r="G21" s="20">
        <v>300</v>
      </c>
      <c r="H21" s="21">
        <f>G21+'DP Settings'!B20</f>
        <v>600</v>
      </c>
      <c r="I21" s="21">
        <f>ROUNDUP(VLOOKUP(B7,'DP Settings'!E2:J25,6,FALSE)*(('DP Settings'!B24^2)/2)*(('DP Settings'!F40-SIN('DP Settings'!F40))*1000),0)</f>
        <v>1961</v>
      </c>
      <c r="J21" s="26">
        <f>(I21/D7)*100</f>
        <v>19.549396869703916</v>
      </c>
      <c r="K21" s="21">
        <f t="shared" si="0"/>
        <v>862</v>
      </c>
      <c r="L21" s="26">
        <f>(K21/D7)*100</f>
        <v>8.5933605821951939</v>
      </c>
    </row>
    <row r="22" spans="7:14" x14ac:dyDescent="0.25">
      <c r="G22" s="20">
        <v>200</v>
      </c>
      <c r="H22" s="21">
        <f>G22+'DP Settings'!B20</f>
        <v>500</v>
      </c>
      <c r="I22" s="21">
        <f>ROUNDUP(VLOOKUP(B7,'DP Settings'!E2:J25,6,FALSE)*(('DP Settings'!B24^2)/2)*(('DP Settings'!F41-SIN('DP Settings'!F41))*1000),0)</f>
        <v>1099</v>
      </c>
      <c r="J22" s="26">
        <f>(I22/D7)*100</f>
        <v>10.956036287508724</v>
      </c>
      <c r="K22" s="21">
        <f t="shared" si="0"/>
        <v>699</v>
      </c>
      <c r="L22" s="26">
        <f>(K22/D7)*100</f>
        <v>6.9683979663044555</v>
      </c>
    </row>
    <row r="23" spans="7:14" x14ac:dyDescent="0.25">
      <c r="G23" s="20">
        <v>100</v>
      </c>
      <c r="H23" s="21">
        <f>G23+'DP Settings'!B20</f>
        <v>400</v>
      </c>
      <c r="I23" s="21">
        <f>ROUNDUP(VLOOKUP(B7,'DP Settings'!E2:J25,6,FALSE)*(('DP Settings'!B24^2)/2)*(('DP Settings'!F42-SIN('DP Settings'!F42))*1000),0)</f>
        <v>400</v>
      </c>
      <c r="J23" s="26">
        <f>(I23/D7)*100</f>
        <v>3.9876383212042668</v>
      </c>
      <c r="K23" s="21">
        <f>I23-I24</f>
        <v>400</v>
      </c>
      <c r="L23" s="26">
        <f>(K23/D7)*100</f>
        <v>3.9876383212042668</v>
      </c>
    </row>
    <row r="24" spans="7:14" ht="15.75" thickBot="1" x14ac:dyDescent="0.3">
      <c r="G24" s="23">
        <v>0</v>
      </c>
      <c r="H24" s="24">
        <f>G24+'DP Settings'!B20</f>
        <v>300</v>
      </c>
      <c r="I24" s="24">
        <f>ROUNDUP(VLOOKUP(B7,'DP Settings'!E2:J25,6,FALSE)*(('DP Settings'!B24^2)/2)*(('DP Settings'!F43-SIN('DP Settings'!F43))*1000),0)</f>
        <v>0</v>
      </c>
      <c r="J24" s="27">
        <f>(I24/D7)*100</f>
        <v>0</v>
      </c>
      <c r="K24" s="24">
        <f>I24</f>
        <v>0</v>
      </c>
      <c r="L24" s="27">
        <f>(K24/D7)*100</f>
        <v>0</v>
      </c>
    </row>
    <row r="25" spans="7:14" ht="15.75" thickBot="1" x14ac:dyDescent="0.3"/>
    <row r="26" spans="7:14" ht="15.75" thickBot="1" x14ac:dyDescent="0.3">
      <c r="G26" s="35" t="s">
        <v>378</v>
      </c>
      <c r="H26" s="14"/>
      <c r="I26" s="14"/>
      <c r="J26" s="14"/>
      <c r="K26" s="14"/>
      <c r="L26" s="16"/>
    </row>
    <row r="27" spans="7:14" ht="17.25" x14ac:dyDescent="0.25">
      <c r="G27" s="28" t="s">
        <v>349</v>
      </c>
      <c r="H27" s="10"/>
      <c r="I27" s="9">
        <f>J7/1000</f>
        <v>8.0690000000000008</v>
      </c>
      <c r="J27" s="29" t="s">
        <v>361</v>
      </c>
      <c r="K27" s="10">
        <f>J7</f>
        <v>8069</v>
      </c>
      <c r="L27" s="29" t="s">
        <v>354</v>
      </c>
      <c r="N27" s="39" t="s">
        <v>379</v>
      </c>
    </row>
    <row r="28" spans="7:14" x14ac:dyDescent="0.25">
      <c r="G28" s="30" t="s">
        <v>352</v>
      </c>
      <c r="I28" s="36">
        <f>1.2-(G7/1000)</f>
        <v>0.89999999999999991</v>
      </c>
      <c r="J28" s="31" t="s">
        <v>350</v>
      </c>
      <c r="K28" s="5">
        <f>I28*1000</f>
        <v>899.99999999999989</v>
      </c>
      <c r="L28" s="31" t="s">
        <v>356</v>
      </c>
      <c r="N28" s="39" t="s">
        <v>380</v>
      </c>
    </row>
    <row r="29" spans="7:14" x14ac:dyDescent="0.25">
      <c r="G29" s="30" t="s">
        <v>353</v>
      </c>
      <c r="I29" s="108">
        <v>24</v>
      </c>
      <c r="J29" s="31" t="s">
        <v>351</v>
      </c>
      <c r="K29" s="5">
        <f>I29*60*60</f>
        <v>86400</v>
      </c>
      <c r="L29" s="31" t="s">
        <v>355</v>
      </c>
      <c r="N29" s="39" t="s">
        <v>381</v>
      </c>
    </row>
    <row r="30" spans="7:14" ht="18" x14ac:dyDescent="0.25">
      <c r="G30" s="30" t="s">
        <v>363</v>
      </c>
      <c r="I30" s="12">
        <f>I27/K29</f>
        <v>9.3391203703703713E-5</v>
      </c>
      <c r="J30" s="31" t="s">
        <v>348</v>
      </c>
      <c r="K30" s="74">
        <f>I30*1000</f>
        <v>9.3391203703703712E-2</v>
      </c>
      <c r="L30" s="31" t="s">
        <v>347</v>
      </c>
    </row>
    <row r="31" spans="7:14" ht="18" x14ac:dyDescent="0.25">
      <c r="G31" s="30" t="s">
        <v>364</v>
      </c>
      <c r="I31" s="12">
        <f>(1.2-(G7/1000))/2</f>
        <v>0.44999999999999996</v>
      </c>
      <c r="J31" s="31" t="s">
        <v>350</v>
      </c>
      <c r="K31" s="5">
        <f>I31*1000</f>
        <v>449.99999999999994</v>
      </c>
      <c r="L31" s="31" t="s">
        <v>356</v>
      </c>
    </row>
    <row r="32" spans="7:14" ht="18" x14ac:dyDescent="0.25">
      <c r="G32" s="30" t="s">
        <v>357</v>
      </c>
      <c r="I32" s="12">
        <f>I30/(0.62*(2*9.81*I31)^0.5)</f>
        <v>5.069422932106361E-5</v>
      </c>
      <c r="J32" s="31" t="s">
        <v>366</v>
      </c>
      <c r="K32" s="74">
        <f>I32*1000</f>
        <v>5.0694229321063607E-2</v>
      </c>
      <c r="L32" s="31" t="s">
        <v>367</v>
      </c>
    </row>
    <row r="33" spans="7:12" ht="18" x14ac:dyDescent="0.25">
      <c r="G33" s="30" t="s">
        <v>358</v>
      </c>
      <c r="I33" s="128">
        <f>2*(I32/PI())^0.5</f>
        <v>8.0340461450909631E-3</v>
      </c>
      <c r="J33" s="31" t="s">
        <v>350</v>
      </c>
      <c r="K33" s="5">
        <f>ROUND(I33*1000,1)</f>
        <v>8</v>
      </c>
      <c r="L33" s="31" t="s">
        <v>356</v>
      </c>
    </row>
    <row r="34" spans="7:12" x14ac:dyDescent="0.25">
      <c r="G34" s="30" t="s">
        <v>359</v>
      </c>
      <c r="I34" s="108">
        <v>0.01</v>
      </c>
      <c r="J34" s="31" t="s">
        <v>350</v>
      </c>
      <c r="K34" s="5">
        <f>I34*1000</f>
        <v>10</v>
      </c>
      <c r="L34" s="31" t="s">
        <v>356</v>
      </c>
    </row>
    <row r="35" spans="7:12" x14ac:dyDescent="0.25">
      <c r="G35" s="30" t="s">
        <v>360</v>
      </c>
      <c r="I35" s="213">
        <f>ROUNDUP(MAX(I33,I34),3)</f>
        <v>0.01</v>
      </c>
      <c r="J35" s="31" t="s">
        <v>350</v>
      </c>
      <c r="K35" s="5">
        <f>ROUND(I35*1000,1)</f>
        <v>10</v>
      </c>
      <c r="L35" s="31" t="s">
        <v>356</v>
      </c>
    </row>
    <row r="36" spans="7:12" ht="15.75" thickBot="1" x14ac:dyDescent="0.3">
      <c r="G36" s="32" t="s">
        <v>362</v>
      </c>
      <c r="H36" s="33"/>
      <c r="I36" s="37">
        <f>ROUND(I27/(PI()*((I35/2)^2)*0.62*(2*9.81*I31)^0.5)/(60*60),2)</f>
        <v>15.49</v>
      </c>
      <c r="J36" s="34" t="s">
        <v>351</v>
      </c>
      <c r="K36" s="33">
        <f>ROUND(I27/(PI()*((I35/2)^2)*0.62*(2*9.81*I31)^0.5),0)</f>
        <v>55768</v>
      </c>
      <c r="L36" s="34" t="s">
        <v>355</v>
      </c>
    </row>
  </sheetData>
  <sheetProtection algorithmName="SHA-512" hashValue="qje9bcntRS6awuODyKM12YmWc7GYZz7qYV/tTylcZA066/7FBTwSq4YSdX+BjLRhGTPiKaGkvOO4Dexd5INuAA==" saltValue="rOnhTN3uIQAq3uivErF0VQ==" spinCount="100000" sheet="1" objects="1" scenarios="1"/>
  <dataValidations count="1">
    <dataValidation type="whole" allowBlank="1" showInputMessage="1" showErrorMessage="1" sqref="G7" xr:uid="{470B0A1D-CB2D-4D2C-912E-345AF4EE90DF}">
      <formula1>0</formula1>
      <formula2>1200</formula2>
    </dataValidation>
  </dataValidations>
  <hyperlinks>
    <hyperlink ref="A1" location="Tank_Sections_and_Orifice_Calculation" display="Menu" xr:uid="{0B788A61-4563-4F64-9640-B26C676159E9}"/>
  </hyperlinks>
  <pageMargins left="0.7" right="0.7" top="0.75" bottom="0.75" header="0.3" footer="0.3"/>
  <pageSetup paperSize="9" scale="47" orientation="landscape" r:id="rId1"/>
  <ignoredErrors>
    <ignoredError sqref="K12:K24 K29 K33:K3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B773606-CE39-437A-B70A-241B8DCAAEC8}">
          <x14:formula1>
            <xm:f>'DP Settings'!$E$2:$E$25</xm:f>
          </x14:formula1>
          <xm:sqref>B7</xm:sqref>
        </x14:dataValidation>
        <x14:dataValidation type="list" allowBlank="1" showInputMessage="1" showErrorMessage="1" xr:uid="{D9988BC8-3BDC-486D-9DAC-7F68DF41C9EF}">
          <x14:formula1>
            <xm:f>'DP Settings'!$B$30:$B$32</xm:f>
          </x14:formula1>
          <xm:sqref>I4</xm:sqref>
        </x14:dataValidation>
        <x14:dataValidation type="list" allowBlank="1" showInputMessage="1" showErrorMessage="1" xr:uid="{286EA0F4-220E-4BA3-868C-D789BD5F4BF3}">
          <x14:formula1>
            <xm:f>'DP Settings'!$B$31:$B$33</xm:f>
          </x14:formula1>
          <xm:sqref>J4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2C40B-5A99-4214-A6CA-1E0DFB5FF03F}">
  <dimension ref="A1:AE202"/>
  <sheetViews>
    <sheetView topLeftCell="A203" zoomScale="70" zoomScaleNormal="70" workbookViewId="0">
      <selection activeCell="A202" sqref="A1:XFD202"/>
    </sheetView>
  </sheetViews>
  <sheetFormatPr defaultRowHeight="15" x14ac:dyDescent="0.25"/>
  <cols>
    <col min="1" max="1" width="37.140625" customWidth="1"/>
    <col min="2" max="2" width="94.140625" customWidth="1"/>
    <col min="3" max="3" width="18.140625" style="2" customWidth="1"/>
    <col min="4" max="7" width="15.7109375" style="2" customWidth="1"/>
    <col min="8" max="8" width="18.7109375" style="2" customWidth="1"/>
    <col min="9" max="10" width="15.7109375" style="2" customWidth="1"/>
    <col min="11" max="11" width="20.5703125" style="3" customWidth="1"/>
    <col min="12" max="12" width="24.140625" customWidth="1"/>
    <col min="13" max="13" width="24.42578125" customWidth="1"/>
    <col min="14" max="14" width="18" customWidth="1"/>
    <col min="27" max="29" width="15.7109375" customWidth="1"/>
    <col min="30" max="30" width="20.5703125" customWidth="1"/>
    <col min="31" max="31" width="15.7109375" style="38" customWidth="1"/>
  </cols>
  <sheetData>
    <row r="1" spans="1:31" s="6" customFormat="1" hidden="1" x14ac:dyDescent="0.25">
      <c r="A1" s="1" t="s">
        <v>0</v>
      </c>
      <c r="B1" s="1" t="s">
        <v>1</v>
      </c>
      <c r="C1" s="5"/>
      <c r="D1" s="5" t="s">
        <v>19</v>
      </c>
      <c r="E1" s="5" t="s">
        <v>20</v>
      </c>
      <c r="F1" s="5" t="s">
        <v>16</v>
      </c>
      <c r="G1" s="5" t="s">
        <v>18</v>
      </c>
      <c r="H1" s="5" t="s">
        <v>17</v>
      </c>
      <c r="I1" s="41" t="s">
        <v>22</v>
      </c>
      <c r="J1" s="5" t="s">
        <v>45</v>
      </c>
      <c r="K1" s="5" t="s">
        <v>155</v>
      </c>
      <c r="L1" s="5" t="s">
        <v>159</v>
      </c>
      <c r="M1" s="5" t="s">
        <v>215</v>
      </c>
      <c r="N1" s="5" t="s">
        <v>214</v>
      </c>
      <c r="AA1" s="42" t="s">
        <v>20</v>
      </c>
      <c r="AB1" s="42" t="s">
        <v>16</v>
      </c>
      <c r="AC1" s="43" t="s">
        <v>18</v>
      </c>
      <c r="AD1" s="42" t="s">
        <v>17</v>
      </c>
      <c r="AE1" s="43" t="s">
        <v>22</v>
      </c>
    </row>
    <row r="2" spans="1:31" s="6" customFormat="1" hidden="1" x14ac:dyDescent="0.25">
      <c r="A2" s="1" t="s">
        <v>2</v>
      </c>
      <c r="B2" s="1" t="s">
        <v>3</v>
      </c>
      <c r="C2" s="5"/>
      <c r="D2" s="5">
        <v>1.21</v>
      </c>
      <c r="E2" s="5">
        <v>1</v>
      </c>
      <c r="F2" s="5">
        <v>1000</v>
      </c>
      <c r="G2" s="5">
        <v>1283</v>
      </c>
      <c r="H2" s="44">
        <v>1.4650000000000001</v>
      </c>
      <c r="I2" s="41">
        <v>112.5</v>
      </c>
      <c r="J2" s="5">
        <f>ROUND(((G2/1000)/(PI()*B24^2)),3)</f>
        <v>1.1339999999999999</v>
      </c>
      <c r="K2" s="5">
        <f>ROUND(((G2/1000)/(PI()*(B76/(2*1000))^2)),3)</f>
        <v>1.1439999999999999</v>
      </c>
      <c r="L2" s="5">
        <f>ROUND(((G2/1000)/(PI()*(B73/(2*1000))^2)),3)</f>
        <v>1.204</v>
      </c>
      <c r="M2" s="44">
        <f>H2-B124</f>
        <v>-0.94500000000000006</v>
      </c>
      <c r="N2" s="5">
        <v>0</v>
      </c>
      <c r="AA2" s="42">
        <v>1</v>
      </c>
      <c r="AB2" s="42">
        <v>1000</v>
      </c>
      <c r="AC2" s="43">
        <v>1283</v>
      </c>
      <c r="AD2" s="45">
        <v>1.4650000000000001</v>
      </c>
      <c r="AE2" s="43">
        <v>112.5</v>
      </c>
    </row>
    <row r="3" spans="1:31" s="6" customFormat="1" hidden="1" x14ac:dyDescent="0.25">
      <c r="A3" s="1" t="s">
        <v>4</v>
      </c>
      <c r="B3" s="1" t="s">
        <v>5</v>
      </c>
      <c r="C3" s="5"/>
      <c r="D3" s="5">
        <v>1.5</v>
      </c>
      <c r="E3" s="5">
        <v>1.5</v>
      </c>
      <c r="F3" s="5">
        <v>1500</v>
      </c>
      <c r="G3" s="5">
        <v>1671.8</v>
      </c>
      <c r="H3" s="44">
        <v>1.9100000000000001</v>
      </c>
      <c r="I3" s="41">
        <v>136.73076923076923</v>
      </c>
      <c r="J3" s="5">
        <f>ROUND(((G3/1000)/(PI()*B24^2)),3)</f>
        <v>1.478</v>
      </c>
      <c r="K3" s="5">
        <f>ROUND(((G3/1000)/(PI()*(B76/(2*1000))^2)),3)</f>
        <v>1.4910000000000001</v>
      </c>
      <c r="L3" s="5">
        <f>ROUND(((G3/1000)/(PI()*(B73/(2*1000))^2)),3)</f>
        <v>1.5680000000000001</v>
      </c>
      <c r="M3" s="44">
        <f>H3-B124</f>
        <v>-0.5</v>
      </c>
      <c r="N3" s="5">
        <v>0</v>
      </c>
      <c r="AA3" s="42">
        <v>1.5</v>
      </c>
      <c r="AB3" s="42">
        <v>1500</v>
      </c>
      <c r="AC3" s="43">
        <v>1671.8</v>
      </c>
      <c r="AD3" s="45">
        <v>1.9100000000000001</v>
      </c>
      <c r="AE3" s="43">
        <v>136.73076923076923</v>
      </c>
    </row>
    <row r="4" spans="1:31" s="6" customFormat="1" hidden="1" x14ac:dyDescent="0.25">
      <c r="A4" s="1" t="s">
        <v>6</v>
      </c>
      <c r="B4" s="1" t="s">
        <v>7</v>
      </c>
      <c r="C4" s="5"/>
      <c r="D4" s="5">
        <v>2</v>
      </c>
      <c r="E4" s="5">
        <v>2</v>
      </c>
      <c r="F4" s="5">
        <v>2000</v>
      </c>
      <c r="G4" s="5">
        <v>2039</v>
      </c>
      <c r="H4" s="44">
        <v>2.25</v>
      </c>
      <c r="I4" s="41">
        <v>159.61538461538461</v>
      </c>
      <c r="J4" s="5">
        <f>ROUND(((G4/1000)/(PI()*B24^2)),3)</f>
        <v>1.8029999999999999</v>
      </c>
      <c r="K4" s="5">
        <f>ROUND(((G4/1000)/(PI()*(B76/(2*1000))^2)),3)</f>
        <v>1.8180000000000001</v>
      </c>
      <c r="L4" s="5">
        <f>ROUND(((G4/1000)/(PI()*(B73/(2*1000))^2)),3)</f>
        <v>1.913</v>
      </c>
      <c r="M4" s="44">
        <f>H4-B124</f>
        <v>-0.16000000000000014</v>
      </c>
      <c r="N4" s="5">
        <v>2</v>
      </c>
      <c r="AA4" s="42">
        <v>2</v>
      </c>
      <c r="AB4" s="42">
        <v>2000</v>
      </c>
      <c r="AC4" s="43">
        <v>2039</v>
      </c>
      <c r="AD4" s="45">
        <v>2.25</v>
      </c>
      <c r="AE4" s="43">
        <v>159.61538461538461</v>
      </c>
    </row>
    <row r="5" spans="1:31" s="6" customFormat="1" hidden="1" x14ac:dyDescent="0.25">
      <c r="A5" s="1" t="s">
        <v>8</v>
      </c>
      <c r="B5" s="1" t="s">
        <v>9</v>
      </c>
      <c r="C5" s="5"/>
      <c r="D5" s="46">
        <v>2.5</v>
      </c>
      <c r="E5" s="46">
        <v>2.5</v>
      </c>
      <c r="F5" s="46">
        <v>2500</v>
      </c>
      <c r="G5" s="46">
        <f>G4+(G6-G4)/2</f>
        <v>2552</v>
      </c>
      <c r="H5" s="47">
        <f>H4+(H6-H4)/2</f>
        <v>2.7250000000000001</v>
      </c>
      <c r="I5" s="47">
        <f>I4+(I6-I4)/2</f>
        <v>191.58653846153845</v>
      </c>
      <c r="J5" s="46">
        <f>ROUND(((G5/1000)/(PI()*B24^2)),3)</f>
        <v>2.2559999999999998</v>
      </c>
      <c r="K5" s="46">
        <f>ROUND(((G5/1000)/(PI()*(B76/(2*1000))^2)),3)</f>
        <v>2.2749999999999999</v>
      </c>
      <c r="L5" s="46">
        <f>ROUND(((G5/1000)/(PI()*(B73/(2*1000))^2)),3)</f>
        <v>2.3940000000000001</v>
      </c>
      <c r="M5" s="44">
        <f>H5-B124</f>
        <v>0.31499999999999995</v>
      </c>
      <c r="N5" s="5">
        <v>2</v>
      </c>
      <c r="AA5" s="42">
        <v>2.5</v>
      </c>
      <c r="AB5" s="42">
        <v>2500</v>
      </c>
      <c r="AC5" s="43">
        <f>AC4+(AC6-AC4)/2</f>
        <v>2552</v>
      </c>
      <c r="AD5" s="45">
        <f>AD4+(AD6-AD4)/2</f>
        <v>2.7250000000000001</v>
      </c>
      <c r="AE5" s="43">
        <f>AE4+(AE6-AE4)/2</f>
        <v>191.58653846153845</v>
      </c>
    </row>
    <row r="6" spans="1:31" s="6" customFormat="1" hidden="1" x14ac:dyDescent="0.25">
      <c r="A6" s="1"/>
      <c r="B6" s="1"/>
      <c r="C6" s="5"/>
      <c r="D6" s="5">
        <v>3</v>
      </c>
      <c r="E6" s="5">
        <v>3</v>
      </c>
      <c r="F6" s="5">
        <v>3000</v>
      </c>
      <c r="G6" s="5">
        <v>3065</v>
      </c>
      <c r="H6" s="44">
        <v>3.2</v>
      </c>
      <c r="I6" s="41">
        <v>223.55769230769232</v>
      </c>
      <c r="J6" s="5">
        <f>ROUND(((G6/1000)/(PI()*B24^2)),3)</f>
        <v>2.71</v>
      </c>
      <c r="K6" s="5">
        <f>ROUND(((G6/1000)/(PI()*(B76/(2*1000))^2)),3)</f>
        <v>2.7330000000000001</v>
      </c>
      <c r="L6" s="5">
        <f>ROUND(((G6/1000)/(PI()*(B73/(2*1000))^2)),3)</f>
        <v>2.875</v>
      </c>
      <c r="M6" s="44">
        <f>H6-B124</f>
        <v>0.79</v>
      </c>
      <c r="N6" s="5">
        <v>2</v>
      </c>
      <c r="AA6" s="42">
        <v>3</v>
      </c>
      <c r="AB6" s="42">
        <v>3000</v>
      </c>
      <c r="AC6" s="43">
        <v>3065</v>
      </c>
      <c r="AD6" s="45">
        <v>3.2</v>
      </c>
      <c r="AE6" s="43">
        <v>223.55769230769232</v>
      </c>
    </row>
    <row r="7" spans="1:31" s="6" customFormat="1" hidden="1" x14ac:dyDescent="0.25">
      <c r="A7" s="1" t="s">
        <v>10</v>
      </c>
      <c r="B7" s="48" t="s">
        <v>11</v>
      </c>
      <c r="C7" s="5"/>
      <c r="D7" s="46">
        <v>3.5</v>
      </c>
      <c r="E7" s="46">
        <v>3.5</v>
      </c>
      <c r="F7" s="46">
        <v>3500</v>
      </c>
      <c r="G7" s="46">
        <f>G6+(G8-G6)/2</f>
        <v>3578</v>
      </c>
      <c r="H7" s="47">
        <f>H6+(H8-H6)/2</f>
        <v>3.6750000000000003</v>
      </c>
      <c r="I7" s="47">
        <f>I6+(I8-I6)/2</f>
        <v>255.52884615384616</v>
      </c>
      <c r="J7" s="46">
        <f>ROUND(((G7/1000)/(PI()*B24^2)),3)</f>
        <v>3.1640000000000001</v>
      </c>
      <c r="K7" s="46">
        <f>ROUND(((G7/1000)/(PI()*(B76/(2*1000))^2)),3)</f>
        <v>3.19</v>
      </c>
      <c r="L7" s="46">
        <f>ROUND(((G7/1000)/(PI()*(B73/(2*1000))^2)),3)</f>
        <v>3.3570000000000002</v>
      </c>
      <c r="M7" s="44">
        <f>H7-B124</f>
        <v>1.2650000000000001</v>
      </c>
      <c r="N7" s="5">
        <v>2</v>
      </c>
      <c r="AA7" s="42">
        <v>3.5</v>
      </c>
      <c r="AB7" s="42">
        <v>3500</v>
      </c>
      <c r="AC7" s="43">
        <f>AC6+(AC8-AC6)/2</f>
        <v>3578</v>
      </c>
      <c r="AD7" s="45">
        <f>AD6+(AD8-AD6)/2</f>
        <v>3.6750000000000003</v>
      </c>
      <c r="AE7" s="43">
        <f>AE6+(AE8-AE6)/2</f>
        <v>255.52884615384616</v>
      </c>
    </row>
    <row r="8" spans="1:31" s="6" customFormat="1" hidden="1" x14ac:dyDescent="0.25">
      <c r="A8" s="1" t="s">
        <v>12</v>
      </c>
      <c r="B8" s="1" t="s">
        <v>13</v>
      </c>
      <c r="C8" s="5"/>
      <c r="D8" s="5">
        <v>4</v>
      </c>
      <c r="E8" s="5">
        <v>4</v>
      </c>
      <c r="F8" s="5">
        <v>4000</v>
      </c>
      <c r="G8" s="5">
        <v>4091</v>
      </c>
      <c r="H8" s="44">
        <v>4.1500000000000004</v>
      </c>
      <c r="I8" s="41">
        <v>287.5</v>
      </c>
      <c r="J8" s="5">
        <f>ROUND(((G8/1000)/(PI()*B24^2)),3)</f>
        <v>3.617</v>
      </c>
      <c r="K8" s="5">
        <f>ROUND(((G8/1000)/(PI()*(B76/(2*1000))^2)),3)</f>
        <v>3.6480000000000001</v>
      </c>
      <c r="L8" s="5">
        <f>ROUND(((G8/1000)/(PI()*(B73/(2*1000))^2)),3)</f>
        <v>3.8380000000000001</v>
      </c>
      <c r="M8" s="44">
        <f>H8-B124</f>
        <v>1.7400000000000002</v>
      </c>
      <c r="N8" s="5">
        <v>2</v>
      </c>
      <c r="AA8" s="42">
        <v>4</v>
      </c>
      <c r="AB8" s="42">
        <v>4000</v>
      </c>
      <c r="AC8" s="43">
        <v>4091</v>
      </c>
      <c r="AD8" s="45">
        <v>4.1500000000000004</v>
      </c>
      <c r="AE8" s="43">
        <v>287.5</v>
      </c>
    </row>
    <row r="9" spans="1:31" s="6" customFormat="1" hidden="1" x14ac:dyDescent="0.25">
      <c r="A9" s="1" t="s">
        <v>14</v>
      </c>
      <c r="B9" s="1" t="s">
        <v>15</v>
      </c>
      <c r="C9" s="5"/>
      <c r="D9" s="5">
        <v>4.5</v>
      </c>
      <c r="E9" s="5">
        <v>4.5</v>
      </c>
      <c r="F9" s="5">
        <v>4500</v>
      </c>
      <c r="G9" s="5">
        <v>4523</v>
      </c>
      <c r="H9" s="44">
        <v>4.55</v>
      </c>
      <c r="I9" s="41">
        <v>314.42307692307691</v>
      </c>
      <c r="J9" s="5">
        <f>ROUND(((G9/1000)/(PI()*B24^2)),3)</f>
        <v>3.9990000000000001</v>
      </c>
      <c r="K9" s="5">
        <f>ROUND(((G9/1000)/(PI()*(B76/(2*1000))^2)),3)</f>
        <v>4.0330000000000004</v>
      </c>
      <c r="L9" s="5">
        <f>ROUND(((G9/1000)/(PI()*(B73/(2*1000))^2)),3)</f>
        <v>4.2430000000000003</v>
      </c>
      <c r="M9" s="44">
        <f>H9-B124</f>
        <v>2.1399999999999997</v>
      </c>
      <c r="N9" s="5">
        <v>2</v>
      </c>
      <c r="AA9" s="42">
        <v>4.5</v>
      </c>
      <c r="AB9" s="42">
        <v>4500</v>
      </c>
      <c r="AC9" s="43">
        <v>4523</v>
      </c>
      <c r="AD9" s="45">
        <v>4.55</v>
      </c>
      <c r="AE9" s="43">
        <v>314.42307692307691</v>
      </c>
    </row>
    <row r="10" spans="1:31" s="6" customFormat="1" hidden="1" x14ac:dyDescent="0.25">
      <c r="C10" s="5"/>
      <c r="D10" s="5">
        <v>5</v>
      </c>
      <c r="E10" s="5">
        <v>5</v>
      </c>
      <c r="F10" s="5">
        <v>5000</v>
      </c>
      <c r="G10" s="5">
        <v>5063</v>
      </c>
      <c r="H10" s="44">
        <v>5.05</v>
      </c>
      <c r="I10" s="41">
        <v>348.07692307692309</v>
      </c>
      <c r="J10" s="5">
        <f>ROUND(((G10/1000)/(PI()*B24^2)),3)</f>
        <v>4.4770000000000003</v>
      </c>
      <c r="K10" s="5">
        <f>ROUND(((G10/1000)/(PI()*(B76/(2*1000))^2)),3)</f>
        <v>4.5140000000000002</v>
      </c>
      <c r="L10" s="5">
        <f>ROUND(((G10/1000)/(PI()*(B73/(2*1000))^2)),3)</f>
        <v>4.75</v>
      </c>
      <c r="M10" s="44">
        <f>H10-B124</f>
        <v>2.6399999999999997</v>
      </c>
      <c r="N10" s="5">
        <v>2</v>
      </c>
      <c r="AA10" s="42">
        <v>5</v>
      </c>
      <c r="AB10" s="42">
        <v>5000</v>
      </c>
      <c r="AC10" s="43">
        <v>5063</v>
      </c>
      <c r="AD10" s="45">
        <v>5.05</v>
      </c>
      <c r="AE10" s="43">
        <v>348.07692307692309</v>
      </c>
    </row>
    <row r="11" spans="1:31" s="6" customFormat="1" hidden="1" x14ac:dyDescent="0.25">
      <c r="C11" s="5"/>
      <c r="D11" s="46">
        <v>5.5</v>
      </c>
      <c r="E11" s="46">
        <v>5.5</v>
      </c>
      <c r="F11" s="46">
        <v>5500</v>
      </c>
      <c r="G11" s="46">
        <f>G10+(G12-G10)/2</f>
        <v>5549</v>
      </c>
      <c r="H11" s="47">
        <f>H10+(H12-H10)/2</f>
        <v>5.5</v>
      </c>
      <c r="I11" s="47">
        <f>I10+(I12-I10)/2</f>
        <v>378.36538461538464</v>
      </c>
      <c r="J11" s="46">
        <f>ROUND(((G11/1000)/(PI()*B24^2)),3)</f>
        <v>4.9059999999999997</v>
      </c>
      <c r="K11" s="46">
        <f>ROUND(((G11/1000)/(PI()*(B76/(2*1000))^2)),3)</f>
        <v>4.9480000000000004</v>
      </c>
      <c r="L11" s="46">
        <f>ROUND(((G11/1000)/(PI()*(B73/(2*1000))^2)),3)</f>
        <v>5.2060000000000004</v>
      </c>
      <c r="M11" s="44">
        <f>H11-B124</f>
        <v>3.09</v>
      </c>
      <c r="N11" s="5">
        <v>2</v>
      </c>
      <c r="AA11" s="42">
        <v>5.5</v>
      </c>
      <c r="AB11" s="42">
        <v>5500</v>
      </c>
      <c r="AC11" s="43">
        <f>AC10+(AC12-AC10)/2</f>
        <v>5549</v>
      </c>
      <c r="AD11" s="45">
        <f>AD10+(AD12-AD10)/2</f>
        <v>5.5</v>
      </c>
      <c r="AE11" s="43">
        <f>AE10+(AE12-AE10)/2</f>
        <v>378.36538461538464</v>
      </c>
    </row>
    <row r="12" spans="1:31" s="6" customFormat="1" hidden="1" x14ac:dyDescent="0.25">
      <c r="C12" s="5"/>
      <c r="D12" s="5">
        <v>6</v>
      </c>
      <c r="E12" s="5">
        <v>6</v>
      </c>
      <c r="F12" s="5">
        <v>6000</v>
      </c>
      <c r="G12" s="5">
        <v>6035</v>
      </c>
      <c r="H12" s="44">
        <v>5.95</v>
      </c>
      <c r="I12" s="41">
        <v>408.65384615384613</v>
      </c>
      <c r="J12" s="5">
        <f>ROUND(((G12/1000)/(PI()*B24^2)),3)</f>
        <v>5.3360000000000003</v>
      </c>
      <c r="K12" s="5">
        <f>ROUND(((G12/1000)/(PI()*(B76/(2*1000))^2)),3)</f>
        <v>5.3810000000000002</v>
      </c>
      <c r="L12" s="5">
        <f>ROUND(((G12/1000)/(PI()*(B73/(2*1000))^2)),3)</f>
        <v>5.6619999999999999</v>
      </c>
      <c r="M12" s="44">
        <f>H12-B124</f>
        <v>3.54</v>
      </c>
      <c r="N12" s="5">
        <v>2</v>
      </c>
      <c r="AA12" s="42">
        <v>6</v>
      </c>
      <c r="AB12" s="42">
        <v>6000</v>
      </c>
      <c r="AC12" s="43">
        <v>6035</v>
      </c>
      <c r="AD12" s="45">
        <v>5.95</v>
      </c>
      <c r="AE12" s="43">
        <v>408.65384615384613</v>
      </c>
    </row>
    <row r="13" spans="1:31" s="6" customFormat="1" hidden="1" x14ac:dyDescent="0.25">
      <c r="C13" s="5"/>
      <c r="D13" s="46">
        <v>6.5</v>
      </c>
      <c r="E13" s="46">
        <v>6.5</v>
      </c>
      <c r="F13" s="46">
        <v>6500</v>
      </c>
      <c r="G13" s="46">
        <f>G12+(G14-G12)/2</f>
        <v>6548</v>
      </c>
      <c r="H13" s="47">
        <f>H12+(H14-H12)/2</f>
        <v>6.4249999999999998</v>
      </c>
      <c r="I13" s="47">
        <f>I12+(I14-I12)/2</f>
        <v>440.625</v>
      </c>
      <c r="J13" s="46">
        <f>ROUND(((G13/1000)/(PI()*B24^2)),3)</f>
        <v>5.79</v>
      </c>
      <c r="K13" s="46">
        <f>ROUND(((G13/1000)/(PI()*(B76/(2*1000))^2)),3)</f>
        <v>5.8380000000000001</v>
      </c>
      <c r="L13" s="46">
        <f>ROUND(((G13/1000)/(PI()*(B73/(2*1000))^2)),3)</f>
        <v>6.1429999999999998</v>
      </c>
      <c r="M13" s="44">
        <f>H13-B124</f>
        <v>4.0149999999999997</v>
      </c>
      <c r="N13" s="5">
        <v>2</v>
      </c>
      <c r="AA13" s="42">
        <v>6.5</v>
      </c>
      <c r="AB13" s="42">
        <v>6500</v>
      </c>
      <c r="AC13" s="43">
        <f>AC12+(AC14-AC12)/2</f>
        <v>6548</v>
      </c>
      <c r="AD13" s="45">
        <f>AD12+(AD14-AD12)/2</f>
        <v>6.4249999999999998</v>
      </c>
      <c r="AE13" s="43">
        <f>AE12+(AE14-AE12)/2</f>
        <v>440.625</v>
      </c>
    </row>
    <row r="14" spans="1:31" s="6" customFormat="1" hidden="1" x14ac:dyDescent="0.25">
      <c r="C14" s="5"/>
      <c r="D14" s="5">
        <v>7</v>
      </c>
      <c r="E14" s="5">
        <v>7</v>
      </c>
      <c r="F14" s="5">
        <v>7000</v>
      </c>
      <c r="G14" s="5">
        <v>7061</v>
      </c>
      <c r="H14" s="44">
        <v>6.8999999999999995</v>
      </c>
      <c r="I14" s="41">
        <v>472.59615384615381</v>
      </c>
      <c r="J14" s="5">
        <f>ROUND(((G14/1000)/(PI()*B24^2)),3)</f>
        <v>6.2430000000000003</v>
      </c>
      <c r="K14" s="5">
        <f>ROUND(((G14/1000)/(PI()*(B76/(2*1000))^2)),3)</f>
        <v>6.2960000000000003</v>
      </c>
      <c r="L14" s="5">
        <f>ROUND(((G14/1000)/(PI()*(B73/(2*1000))^2)),3)</f>
        <v>6.6239999999999997</v>
      </c>
      <c r="M14" s="44">
        <f>H14-B124</f>
        <v>4.4899999999999993</v>
      </c>
      <c r="N14" s="5">
        <v>2</v>
      </c>
      <c r="AA14" s="42">
        <v>7</v>
      </c>
      <c r="AB14" s="42">
        <v>7000</v>
      </c>
      <c r="AC14" s="43">
        <v>7061</v>
      </c>
      <c r="AD14" s="45">
        <v>6.8999999999999995</v>
      </c>
      <c r="AE14" s="43">
        <v>472.59615384615381</v>
      </c>
    </row>
    <row r="15" spans="1:31" s="6" customFormat="1" hidden="1" x14ac:dyDescent="0.25">
      <c r="C15" s="5"/>
      <c r="D15" s="5">
        <v>7.5</v>
      </c>
      <c r="E15" s="5">
        <v>7.5</v>
      </c>
      <c r="F15" s="5">
        <v>7500</v>
      </c>
      <c r="G15" s="5">
        <v>7547</v>
      </c>
      <c r="H15" s="44">
        <v>7.35</v>
      </c>
      <c r="I15" s="41">
        <v>502.88461538461542</v>
      </c>
      <c r="J15" s="5">
        <f>ROUND(((G15/1000)/(PI()*B24^2)),3)</f>
        <v>6.673</v>
      </c>
      <c r="K15" s="5">
        <f>ROUND(((G15/1000)/(PI()*(B76/(2*1000))^2)),3)</f>
        <v>6.7290000000000001</v>
      </c>
      <c r="L15" s="5">
        <f>ROUND(((G15/1000)/(PI()*(B73/(2*1000))^2)),3)</f>
        <v>7.08</v>
      </c>
      <c r="M15" s="44">
        <f>H15-B124</f>
        <v>4.9399999999999995</v>
      </c>
      <c r="N15" s="5">
        <v>2</v>
      </c>
      <c r="AA15" s="42">
        <v>7.5</v>
      </c>
      <c r="AB15" s="42">
        <v>7500</v>
      </c>
      <c r="AC15" s="43">
        <v>7547</v>
      </c>
      <c r="AD15" s="45">
        <v>7.35</v>
      </c>
      <c r="AE15" s="43">
        <v>502.88461538461542</v>
      </c>
    </row>
    <row r="16" spans="1:31" s="6" customFormat="1" hidden="1" x14ac:dyDescent="0.25">
      <c r="C16" s="5"/>
      <c r="D16" s="5">
        <v>8</v>
      </c>
      <c r="E16" s="5">
        <v>8</v>
      </c>
      <c r="F16" s="5">
        <v>8000</v>
      </c>
      <c r="G16" s="5">
        <v>8087</v>
      </c>
      <c r="H16" s="44">
        <v>7.85</v>
      </c>
      <c r="I16" s="41">
        <v>536.53846153846143</v>
      </c>
      <c r="J16" s="5">
        <f>ROUND(((G16/1000)/(PI()*B24^2)),3)</f>
        <v>7.15</v>
      </c>
      <c r="K16" s="5">
        <f>ROUND(((G16/1000)/(PI()*(B76/(2*1000))^2)),3)</f>
        <v>7.21</v>
      </c>
      <c r="L16" s="5">
        <f>ROUND(((G16/1000)/(PI()*(B73/(2*1000))^2)),3)</f>
        <v>7.5869999999999997</v>
      </c>
      <c r="M16" s="44">
        <f>H16-B124</f>
        <v>5.4399999999999995</v>
      </c>
      <c r="N16" s="5">
        <v>3</v>
      </c>
      <c r="AA16" s="42">
        <v>8</v>
      </c>
      <c r="AB16" s="42">
        <v>8000</v>
      </c>
      <c r="AC16" s="43">
        <v>8087</v>
      </c>
      <c r="AD16" s="45">
        <v>7.85</v>
      </c>
      <c r="AE16" s="43">
        <v>536.53846153846143</v>
      </c>
    </row>
    <row r="17" spans="1:31" s="6" customFormat="1" hidden="1" x14ac:dyDescent="0.25">
      <c r="C17" s="5"/>
      <c r="D17" s="46">
        <v>8.5</v>
      </c>
      <c r="E17" s="46">
        <v>8.5</v>
      </c>
      <c r="F17" s="46">
        <v>8500</v>
      </c>
      <c r="G17" s="46">
        <f>G16+(G18-G16)/2</f>
        <v>8573</v>
      </c>
      <c r="H17" s="47">
        <f>H16+(H18-H16)/2</f>
        <v>8.3000000000000007</v>
      </c>
      <c r="I17" s="47">
        <f>I16+(I18-I16)/2</f>
        <v>566.82692307692298</v>
      </c>
      <c r="J17" s="46">
        <f>ROUND(((G17/1000)/(PI()*B24^2)),3)</f>
        <v>7.58</v>
      </c>
      <c r="K17" s="46">
        <f>ROUND(((G17/1000)/(PI()*(B76/(2*1000))^2)),3)</f>
        <v>7.6440000000000001</v>
      </c>
      <c r="L17" s="46">
        <f>ROUND(((G17/1000)/(PI()*(B73/(2*1000))^2)),3)</f>
        <v>8.0429999999999993</v>
      </c>
      <c r="M17" s="44">
        <f>H17-B124</f>
        <v>5.8900000000000006</v>
      </c>
      <c r="N17" s="5">
        <v>3</v>
      </c>
      <c r="AA17" s="42">
        <v>8.5</v>
      </c>
      <c r="AB17" s="42">
        <v>8500</v>
      </c>
      <c r="AC17" s="43">
        <f>AC16+(AC18-AC16)/2</f>
        <v>8573</v>
      </c>
      <c r="AD17" s="45">
        <f>AD16+(AD18-AD16)/2</f>
        <v>8.3000000000000007</v>
      </c>
      <c r="AE17" s="43">
        <f>AE16+(AE18-AE16)/2</f>
        <v>566.82692307692298</v>
      </c>
    </row>
    <row r="18" spans="1:31" s="6" customFormat="1" hidden="1" x14ac:dyDescent="0.25">
      <c r="C18" s="5"/>
      <c r="D18" s="5">
        <v>9</v>
      </c>
      <c r="E18" s="5">
        <v>9</v>
      </c>
      <c r="F18" s="5">
        <v>9000</v>
      </c>
      <c r="G18" s="5">
        <v>9059</v>
      </c>
      <c r="H18" s="44">
        <v>8.75</v>
      </c>
      <c r="I18" s="41">
        <v>597.11538461538453</v>
      </c>
      <c r="J18" s="5">
        <f>ROUND(((G18/1000)/(PI()*B24^2)),3)</f>
        <v>8.01</v>
      </c>
      <c r="K18" s="5">
        <f>ROUND(((G18/1000)/(PI()*(B76/(2*1000))^2)),3)</f>
        <v>8.077</v>
      </c>
      <c r="L18" s="5">
        <f>ROUND(((G18/1000)/(PI()*(B73/(2*1000))^2)),3)</f>
        <v>8.4979999999999993</v>
      </c>
      <c r="M18" s="44">
        <f>H18-B124</f>
        <v>6.34</v>
      </c>
      <c r="N18" s="5">
        <v>3</v>
      </c>
      <c r="AA18" s="42">
        <v>9</v>
      </c>
      <c r="AB18" s="42">
        <v>9000</v>
      </c>
      <c r="AC18" s="43">
        <v>9059</v>
      </c>
      <c r="AD18" s="45">
        <v>8.75</v>
      </c>
      <c r="AE18" s="43">
        <v>597.11538461538453</v>
      </c>
    </row>
    <row r="19" spans="1:31" s="6" customFormat="1" hidden="1" x14ac:dyDescent="0.25">
      <c r="C19" s="5"/>
      <c r="D19" s="46">
        <v>9.5</v>
      </c>
      <c r="E19" s="46">
        <v>9.5</v>
      </c>
      <c r="F19" s="46">
        <v>9500</v>
      </c>
      <c r="G19" s="46">
        <f>G18+(G20-G18)/2</f>
        <v>9545</v>
      </c>
      <c r="H19" s="47">
        <f>H18+(H20-H18)/2</f>
        <v>9.1999999999999993</v>
      </c>
      <c r="I19" s="47">
        <f>I18+(I20-I18)/2</f>
        <v>627.40384615384608</v>
      </c>
      <c r="J19" s="46">
        <f>ROUND(((G19/1000)/(PI()*B24^2)),3)</f>
        <v>8.44</v>
      </c>
      <c r="K19" s="46">
        <f>ROUND(((G19/1000)/(PI()*(B76/(2*1000))^2)),3)</f>
        <v>8.51</v>
      </c>
      <c r="L19" s="46">
        <f>ROUND(((G19/1000)/(PI()*(B73/(2*1000))^2)),3)</f>
        <v>8.9540000000000006</v>
      </c>
      <c r="M19" s="44">
        <f>H19-B124</f>
        <v>6.7899999999999991</v>
      </c>
      <c r="N19" s="5">
        <v>3</v>
      </c>
      <c r="AA19" s="42">
        <v>9.5</v>
      </c>
      <c r="AB19" s="42">
        <v>9500</v>
      </c>
      <c r="AC19" s="43">
        <f>AC18+(AC20-AC18)/2</f>
        <v>9545</v>
      </c>
      <c r="AD19" s="45">
        <f>AD18+(AD20-AD18)/2</f>
        <v>9.1999999999999993</v>
      </c>
      <c r="AE19" s="43">
        <f>AE18+(AE20-AE18)/2</f>
        <v>627.40384615384608</v>
      </c>
    </row>
    <row r="20" spans="1:31" s="6" customFormat="1" hidden="1" x14ac:dyDescent="0.25">
      <c r="A20" s="6" t="s">
        <v>42</v>
      </c>
      <c r="B20" s="39">
        <v>300</v>
      </c>
      <c r="C20" s="5"/>
      <c r="D20" s="5">
        <v>10</v>
      </c>
      <c r="E20" s="5">
        <v>10</v>
      </c>
      <c r="F20" s="5">
        <v>10000</v>
      </c>
      <c r="G20" s="5">
        <v>10031</v>
      </c>
      <c r="H20" s="44">
        <v>9.65</v>
      </c>
      <c r="I20" s="41">
        <v>657.69230769230762</v>
      </c>
      <c r="J20" s="5">
        <f>ROUND(((G20/1000)/(PI()*B24^2)),3)</f>
        <v>8.8689999999999998</v>
      </c>
      <c r="K20" s="5">
        <f>ROUND(((G20/1000)/(PI()*(B76/(2*1000))^2)),3)</f>
        <v>8.9440000000000008</v>
      </c>
      <c r="L20" s="5">
        <f>ROUND(((G20/1000)/(PI()*(B73/(2*1000))^2)),3)</f>
        <v>9.41</v>
      </c>
      <c r="M20" s="44">
        <f>H20-B124</f>
        <v>7.24</v>
      </c>
      <c r="N20" s="5">
        <v>3</v>
      </c>
      <c r="AA20" s="42">
        <v>10</v>
      </c>
      <c r="AB20" s="42">
        <v>10000</v>
      </c>
      <c r="AC20" s="43">
        <v>10031</v>
      </c>
      <c r="AD20" s="45">
        <v>9.65</v>
      </c>
      <c r="AE20" s="43">
        <v>657.69230769230762</v>
      </c>
    </row>
    <row r="21" spans="1:31" s="6" customFormat="1" hidden="1" x14ac:dyDescent="0.25">
      <c r="A21" s="6" t="s">
        <v>41</v>
      </c>
      <c r="B21" s="39">
        <v>1200</v>
      </c>
      <c r="C21" s="5"/>
      <c r="D21" s="46">
        <v>10.5</v>
      </c>
      <c r="E21" s="46">
        <v>10.5</v>
      </c>
      <c r="F21" s="46">
        <v>11500</v>
      </c>
      <c r="G21" s="46">
        <f>G20+(G22-G20)/2</f>
        <v>10517</v>
      </c>
      <c r="H21" s="47">
        <f>H20+(H22-H20)/2</f>
        <v>10.100000000000001</v>
      </c>
      <c r="I21" s="47">
        <f>I20+(I22-I20)/2</f>
        <v>687.98076923076917</v>
      </c>
      <c r="J21" s="46">
        <f>ROUND(((G21/1000)/(PI()*B24^2)),3)</f>
        <v>9.2989999999999995</v>
      </c>
      <c r="K21" s="46">
        <f>ROUND(((G21/1000)/(PI()*(B76/(2*1000))^2)),3)</f>
        <v>9.3770000000000007</v>
      </c>
      <c r="L21" s="46">
        <f>ROUND(((G21/1000)/(PI()*(B73/(2*1000))^2)),3)</f>
        <v>9.8659999999999997</v>
      </c>
      <c r="M21" s="44">
        <f>H21-B124</f>
        <v>7.6900000000000013</v>
      </c>
      <c r="N21" s="5">
        <v>3</v>
      </c>
      <c r="AA21" s="42">
        <v>10.5</v>
      </c>
      <c r="AB21" s="42">
        <v>11500</v>
      </c>
      <c r="AC21" s="43">
        <f>AC20+(AC22-AC20)/2</f>
        <v>10517</v>
      </c>
      <c r="AD21" s="45">
        <f>AD20+(AD22-AD20)/2</f>
        <v>10.100000000000001</v>
      </c>
      <c r="AE21" s="43">
        <f>AE20+(AE22-AE20)/2</f>
        <v>687.98076923076917</v>
      </c>
    </row>
    <row r="22" spans="1:31" s="6" customFormat="1" hidden="1" x14ac:dyDescent="0.25">
      <c r="A22" s="6" t="s">
        <v>40</v>
      </c>
      <c r="B22" s="39">
        <v>1330</v>
      </c>
      <c r="C22" s="5"/>
      <c r="D22" s="5">
        <v>11</v>
      </c>
      <c r="E22" s="5">
        <v>11</v>
      </c>
      <c r="F22" s="5">
        <v>11000</v>
      </c>
      <c r="G22" s="5">
        <v>11003</v>
      </c>
      <c r="H22" s="44">
        <v>10.55</v>
      </c>
      <c r="I22" s="41">
        <v>718.26923076923072</v>
      </c>
      <c r="J22" s="5">
        <f>ROUND(((G22/1000)/(PI()*B24^2)),3)</f>
        <v>9.7289999999999992</v>
      </c>
      <c r="K22" s="5">
        <f>ROUND(((G22/1000)/(PI()*(B76/(2*1000))^2)),3)</f>
        <v>9.81</v>
      </c>
      <c r="L22" s="5">
        <f>ROUND(((G22/1000)/(PI()*(B73/(2*1000))^2)),3)</f>
        <v>10.321999999999999</v>
      </c>
      <c r="M22" s="44">
        <f>H22-B124</f>
        <v>8.14</v>
      </c>
      <c r="N22" s="5">
        <v>3</v>
      </c>
      <c r="AA22" s="42">
        <v>11</v>
      </c>
      <c r="AB22" s="42">
        <v>11000</v>
      </c>
      <c r="AC22" s="43">
        <v>11003</v>
      </c>
      <c r="AD22" s="45">
        <v>10.55</v>
      </c>
      <c r="AE22" s="43">
        <v>718.26923076923072</v>
      </c>
    </row>
    <row r="23" spans="1:31" s="6" customFormat="1" hidden="1" x14ac:dyDescent="0.25">
      <c r="A23" s="6" t="s">
        <v>43</v>
      </c>
      <c r="B23" s="39">
        <v>850</v>
      </c>
      <c r="C23" s="5"/>
      <c r="D23" s="46">
        <v>11.5</v>
      </c>
      <c r="E23" s="46">
        <v>11.5</v>
      </c>
      <c r="F23" s="46">
        <v>11500</v>
      </c>
      <c r="G23" s="46">
        <f>G22+(G24-G22)/2</f>
        <v>11543</v>
      </c>
      <c r="H23" s="47">
        <f>H22+(H24-H22)/2</f>
        <v>11.05</v>
      </c>
      <c r="I23" s="47">
        <f>I22+(I24-I22)/2</f>
        <v>751.92307692307691</v>
      </c>
      <c r="J23" s="46">
        <f>ROUND(((G23/1000)/(PI()*B24^2)),3)</f>
        <v>10.206</v>
      </c>
      <c r="K23" s="46">
        <f>ROUND(((G23/1000)/(PI()*(B76/(2*1000))^2)),3)</f>
        <v>10.292</v>
      </c>
      <c r="L23" s="46">
        <f>ROUND(((G23/1000)/(PI()*(B73/(2*1000))^2)),3)</f>
        <v>10.829000000000001</v>
      </c>
      <c r="M23" s="44">
        <f>H23-B124</f>
        <v>8.64</v>
      </c>
      <c r="N23" s="5">
        <v>3</v>
      </c>
      <c r="AA23" s="42">
        <v>11.5</v>
      </c>
      <c r="AB23" s="42">
        <v>11500</v>
      </c>
      <c r="AC23" s="43">
        <f>AC22+(AC24-AC22)/2</f>
        <v>11543</v>
      </c>
      <c r="AD23" s="45">
        <f>AD22+(AD24-AD22)/2</f>
        <v>11.05</v>
      </c>
      <c r="AE23" s="43">
        <f>AE22+(AE24-AE22)/2</f>
        <v>751.92307692307691</v>
      </c>
    </row>
    <row r="24" spans="1:31" s="6" customFormat="1" hidden="1" x14ac:dyDescent="0.25">
      <c r="A24" s="6" t="s">
        <v>44</v>
      </c>
      <c r="B24" s="49">
        <f>B21/2000</f>
        <v>0.6</v>
      </c>
      <c r="C24" s="5"/>
      <c r="D24" s="5">
        <v>12</v>
      </c>
      <c r="E24" s="5">
        <v>12</v>
      </c>
      <c r="F24" s="5">
        <v>12000</v>
      </c>
      <c r="G24" s="5">
        <v>12083</v>
      </c>
      <c r="H24" s="44">
        <v>11.55</v>
      </c>
      <c r="I24" s="41">
        <v>785.57692307692298</v>
      </c>
      <c r="J24" s="5">
        <f>ROUND(((G24/1000)/(PI()*B24^2)),3)</f>
        <v>10.683999999999999</v>
      </c>
      <c r="K24" s="5">
        <f>ROUND(((G24/1000)/(PI()*(B76/(2*1000))^2)),3)</f>
        <v>10.773</v>
      </c>
      <c r="L24" s="5">
        <f>ROUND(((G24/1000)/(PI()*(B73/(2*1000))^2)),3)</f>
        <v>11.335000000000001</v>
      </c>
      <c r="M24" s="44">
        <f>H24-B124</f>
        <v>9.14</v>
      </c>
      <c r="N24" s="5">
        <v>3</v>
      </c>
      <c r="AA24" s="42">
        <v>12</v>
      </c>
      <c r="AB24" s="42">
        <v>12000</v>
      </c>
      <c r="AC24" s="43">
        <v>12083</v>
      </c>
      <c r="AD24" s="45">
        <v>11.55</v>
      </c>
      <c r="AE24" s="43">
        <v>785.57692307692298</v>
      </c>
    </row>
    <row r="25" spans="1:31" s="6" customFormat="1" hidden="1" x14ac:dyDescent="0.25">
      <c r="A25" s="6" t="s">
        <v>334</v>
      </c>
      <c r="B25" s="39">
        <f>(2*ACOS((B24-(('Sizes &amp; Dimensions'!G7)/1000))/B24))</f>
        <v>2.0943951023931953</v>
      </c>
      <c r="C25" s="5"/>
      <c r="D25" s="5">
        <v>12.5</v>
      </c>
      <c r="E25" s="5">
        <v>12.5</v>
      </c>
      <c r="F25" s="5">
        <v>12500</v>
      </c>
      <c r="G25" s="5">
        <v>12515</v>
      </c>
      <c r="H25" s="44">
        <v>11.950000000000001</v>
      </c>
      <c r="I25" s="41">
        <v>812.5</v>
      </c>
      <c r="J25" s="5">
        <f>ROUND(((G25/1000)/(PI()*B24^2)),3)</f>
        <v>11.066000000000001</v>
      </c>
      <c r="K25" s="5">
        <f>ROUND(((G25/1000)/(PI()*(B76/(2*1000))^2)),3)</f>
        <v>11.157999999999999</v>
      </c>
      <c r="L25" s="5">
        <f>ROUND(((G25/1000)/(PI()*(B73/(2*1000))^2)),3)</f>
        <v>11.741</v>
      </c>
      <c r="M25" s="44">
        <f>H25-B124</f>
        <v>9.5400000000000009</v>
      </c>
      <c r="N25" s="5">
        <v>3</v>
      </c>
      <c r="AA25" s="42">
        <v>12.5</v>
      </c>
      <c r="AB25" s="42">
        <v>12500</v>
      </c>
      <c r="AC25" s="43">
        <v>12515</v>
      </c>
      <c r="AD25" s="45">
        <v>11.950000000000001</v>
      </c>
      <c r="AE25" s="43">
        <v>812.5</v>
      </c>
    </row>
    <row r="26" spans="1:31" s="6" customFormat="1" hidden="1" x14ac:dyDescent="0.25">
      <c r="A26" s="6" t="s">
        <v>46</v>
      </c>
      <c r="B26" s="49">
        <f>B25*180/PI()</f>
        <v>119.99999999999999</v>
      </c>
      <c r="C26" s="5"/>
      <c r="D26" s="50">
        <v>13.5</v>
      </c>
      <c r="E26" s="50">
        <v>13.5</v>
      </c>
      <c r="F26" s="50">
        <v>13500</v>
      </c>
      <c r="G26" s="50">
        <v>13271</v>
      </c>
      <c r="H26" s="51">
        <v>12.65</v>
      </c>
      <c r="I26" s="52">
        <v>859.61538461538464</v>
      </c>
      <c r="J26" s="50">
        <f>ROUND(((G26/1000)/(PI()*B24^2)),3)</f>
        <v>11.734</v>
      </c>
      <c r="K26" s="53"/>
      <c r="AE26" s="54"/>
    </row>
    <row r="27" spans="1:31" s="6" customFormat="1" hidden="1" x14ac:dyDescent="0.25">
      <c r="A27" s="6" t="s">
        <v>241</v>
      </c>
      <c r="B27" s="49">
        <v>630</v>
      </c>
      <c r="C27" s="5"/>
      <c r="D27" s="5"/>
      <c r="E27" s="5"/>
      <c r="F27" s="5"/>
      <c r="G27" s="5"/>
      <c r="H27" s="5"/>
      <c r="I27" s="5"/>
      <c r="J27" s="5" t="s">
        <v>284</v>
      </c>
      <c r="K27" s="53" t="s">
        <v>156</v>
      </c>
      <c r="L27" s="6" t="s">
        <v>160</v>
      </c>
      <c r="AE27" s="54"/>
    </row>
    <row r="28" spans="1:31" s="6" customFormat="1" hidden="1" x14ac:dyDescent="0.25">
      <c r="A28" s="6" t="s">
        <v>335</v>
      </c>
      <c r="B28" s="49">
        <f>(2*ACOS((B24-(('Sections &amp; Orifice'!G7)/1000))/B24))</f>
        <v>2.0943951023931953</v>
      </c>
      <c r="C28" s="5"/>
      <c r="D28" s="5"/>
      <c r="E28" s="5"/>
      <c r="F28" s="5"/>
      <c r="G28" s="5"/>
      <c r="H28" s="5"/>
      <c r="I28" s="5"/>
      <c r="J28" s="5"/>
      <c r="K28" s="53"/>
      <c r="AE28" s="54"/>
    </row>
    <row r="29" spans="1:31" s="6" customFormat="1" hidden="1" x14ac:dyDescent="0.25">
      <c r="B29" s="49"/>
      <c r="C29" s="5"/>
      <c r="D29" s="5"/>
      <c r="E29" s="5"/>
      <c r="F29" s="5"/>
      <c r="G29" s="5"/>
      <c r="H29" s="5"/>
      <c r="I29" s="5"/>
      <c r="J29" s="5"/>
      <c r="K29" s="53"/>
      <c r="AE29" s="54"/>
    </row>
    <row r="30" spans="1:31" s="6" customFormat="1" hidden="1" x14ac:dyDescent="0.25">
      <c r="A30" s="6" t="s">
        <v>51</v>
      </c>
      <c r="B30" s="49" t="s">
        <v>53</v>
      </c>
      <c r="C30" s="5"/>
      <c r="D30" s="5" t="s">
        <v>49</v>
      </c>
      <c r="E30" s="5" t="s">
        <v>31</v>
      </c>
      <c r="F30" s="5" t="s">
        <v>48</v>
      </c>
      <c r="G30" s="5"/>
      <c r="H30" s="5"/>
      <c r="I30" s="5"/>
      <c r="J30" s="5"/>
      <c r="K30" s="5"/>
      <c r="L30" s="53"/>
      <c r="AE30" s="54"/>
    </row>
    <row r="31" spans="1:31" s="6" customFormat="1" hidden="1" x14ac:dyDescent="0.25">
      <c r="A31" s="6" t="s">
        <v>52</v>
      </c>
      <c r="B31" s="49" t="s">
        <v>32</v>
      </c>
      <c r="C31" s="5"/>
      <c r="D31" s="55">
        <v>1.2</v>
      </c>
      <c r="E31" s="56">
        <f>D31*1000</f>
        <v>1200</v>
      </c>
      <c r="F31" s="5">
        <f>(2*ACOS((B24-D31)/B24))</f>
        <v>6.2831853071795862</v>
      </c>
      <c r="G31" s="5"/>
      <c r="H31" s="5"/>
      <c r="I31" s="5"/>
      <c r="J31" s="5"/>
      <c r="K31" s="5"/>
      <c r="L31" s="53"/>
      <c r="AE31" s="54"/>
    </row>
    <row r="32" spans="1:31" s="6" customFormat="1" hidden="1" x14ac:dyDescent="0.25">
      <c r="A32" s="6" t="s">
        <v>336</v>
      </c>
      <c r="B32" s="49" t="s">
        <v>30</v>
      </c>
      <c r="C32" s="5"/>
      <c r="D32" s="55">
        <v>1.1000000000000001</v>
      </c>
      <c r="E32" s="56">
        <f t="shared" ref="E32:E43" si="0">D32*1000</f>
        <v>1100</v>
      </c>
      <c r="F32" s="5">
        <f>(2*ACOS((B24-D32)/B24))</f>
        <v>5.111814220265285</v>
      </c>
      <c r="G32" s="5"/>
      <c r="H32" s="5"/>
      <c r="I32" s="5"/>
      <c r="J32" s="5"/>
      <c r="K32" s="5"/>
      <c r="L32" s="53"/>
      <c r="AE32" s="54"/>
    </row>
    <row r="33" spans="1:31" s="6" customFormat="1" hidden="1" x14ac:dyDescent="0.25">
      <c r="A33" s="6" t="s">
        <v>337</v>
      </c>
      <c r="B33" s="49" t="s">
        <v>54</v>
      </c>
      <c r="C33" s="5"/>
      <c r="D33" s="55">
        <v>1</v>
      </c>
      <c r="E33" s="56">
        <f t="shared" si="0"/>
        <v>1000</v>
      </c>
      <c r="F33" s="5">
        <f>(2*ACOS((B24-D33)/B24))</f>
        <v>4.6010479660437262</v>
      </c>
      <c r="G33" s="5"/>
      <c r="H33" s="5"/>
      <c r="I33" s="5"/>
      <c r="J33" s="5"/>
      <c r="K33" s="5"/>
      <c r="L33" s="53"/>
      <c r="AE33" s="54"/>
    </row>
    <row r="34" spans="1:31" s="6" customFormat="1" hidden="1" x14ac:dyDescent="0.25">
      <c r="B34" s="49"/>
      <c r="C34" s="5"/>
      <c r="D34" s="55">
        <v>0.9</v>
      </c>
      <c r="E34" s="56">
        <f t="shared" si="0"/>
        <v>900</v>
      </c>
      <c r="F34" s="5">
        <f>(2*ACOS((B24-D34)/B24))</f>
        <v>4.1887902047863914</v>
      </c>
      <c r="G34" s="5"/>
      <c r="H34" s="5"/>
      <c r="I34" s="5"/>
      <c r="J34" s="5"/>
      <c r="K34" s="5"/>
      <c r="L34" s="53"/>
      <c r="AE34" s="54"/>
    </row>
    <row r="35" spans="1:31" s="6" customFormat="1" hidden="1" x14ac:dyDescent="0.25">
      <c r="B35" s="49"/>
      <c r="C35" s="5"/>
      <c r="D35" s="55">
        <v>0.8</v>
      </c>
      <c r="E35" s="56">
        <f t="shared" si="0"/>
        <v>800</v>
      </c>
      <c r="F35" s="5">
        <f>(2*ACOS((B24-D35)/B24))</f>
        <v>3.8212664724980372</v>
      </c>
      <c r="G35" s="5"/>
      <c r="H35" s="5"/>
      <c r="I35" s="5"/>
      <c r="J35" s="5"/>
      <c r="K35" s="5"/>
      <c r="L35" s="53"/>
      <c r="AE35" s="54"/>
    </row>
    <row r="36" spans="1:31" s="6" customFormat="1" hidden="1" x14ac:dyDescent="0.25">
      <c r="B36" s="49"/>
      <c r="C36" s="5"/>
      <c r="D36" s="55">
        <v>0.7</v>
      </c>
      <c r="E36" s="56">
        <f t="shared" si="0"/>
        <v>700</v>
      </c>
      <c r="F36" s="5">
        <f>(2*ACOS((B24-D36)/B24))</f>
        <v>3.4764888120291717</v>
      </c>
      <c r="G36" s="5"/>
      <c r="H36" s="5"/>
      <c r="I36" s="5"/>
      <c r="J36" s="5"/>
      <c r="K36" s="5"/>
      <c r="L36" s="53"/>
      <c r="AE36" s="54"/>
    </row>
    <row r="37" spans="1:31" s="6" customFormat="1" hidden="1" x14ac:dyDescent="0.25">
      <c r="C37" s="5"/>
      <c r="D37" s="55">
        <v>0.6</v>
      </c>
      <c r="E37" s="56">
        <f t="shared" si="0"/>
        <v>600</v>
      </c>
      <c r="F37" s="5">
        <f>(2*ACOS((B24-D37)/B24))</f>
        <v>3.1415926535897931</v>
      </c>
      <c r="G37" s="5"/>
      <c r="H37" s="5"/>
      <c r="I37" s="5"/>
      <c r="J37" s="5"/>
      <c r="K37" s="5"/>
      <c r="L37" s="53"/>
      <c r="AE37" s="54"/>
    </row>
    <row r="38" spans="1:31" s="6" customFormat="1" hidden="1" x14ac:dyDescent="0.25">
      <c r="B38" s="49"/>
      <c r="C38" s="5"/>
      <c r="D38" s="55">
        <v>0.5</v>
      </c>
      <c r="E38" s="56">
        <f t="shared" si="0"/>
        <v>500</v>
      </c>
      <c r="F38" s="5">
        <f>(2*ACOS((B24-D38)/B24))</f>
        <v>2.8066964951504145</v>
      </c>
      <c r="G38" s="5"/>
      <c r="H38" s="5"/>
      <c r="I38" s="5"/>
      <c r="J38" s="5"/>
      <c r="K38" s="5"/>
      <c r="L38" s="53"/>
      <c r="AE38" s="54"/>
    </row>
    <row r="39" spans="1:31" s="6" customFormat="1" hidden="1" x14ac:dyDescent="0.25">
      <c r="A39" s="6" t="s">
        <v>55</v>
      </c>
      <c r="B39" s="49"/>
      <c r="C39" s="5"/>
      <c r="D39" s="55">
        <v>0.4</v>
      </c>
      <c r="E39" s="56">
        <f t="shared" si="0"/>
        <v>400</v>
      </c>
      <c r="F39" s="5">
        <f>(2*ACOS((B24-D39)/B24))</f>
        <v>2.4619188346815495</v>
      </c>
      <c r="G39" s="5"/>
      <c r="H39" s="5"/>
      <c r="I39" s="5"/>
      <c r="J39" s="5"/>
      <c r="K39" s="5"/>
      <c r="L39" s="53"/>
      <c r="AE39" s="54"/>
    </row>
    <row r="40" spans="1:31" s="6" customFormat="1" hidden="1" x14ac:dyDescent="0.25">
      <c r="A40" s="6" t="s">
        <v>184</v>
      </c>
      <c r="B40" s="57">
        <v>0.03</v>
      </c>
      <c r="C40" s="5"/>
      <c r="D40" s="55">
        <v>0.3</v>
      </c>
      <c r="E40" s="56">
        <f t="shared" si="0"/>
        <v>300</v>
      </c>
      <c r="F40" s="5">
        <f>(2*ACOS((B24-D40)/B24))</f>
        <v>2.0943951023931953</v>
      </c>
      <c r="G40" s="5"/>
      <c r="H40" s="5"/>
      <c r="I40" s="5"/>
      <c r="J40" s="5"/>
      <c r="K40" s="5"/>
      <c r="L40" s="53"/>
      <c r="AE40" s="54"/>
    </row>
    <row r="41" spans="1:31" s="6" customFormat="1" hidden="1" x14ac:dyDescent="0.25">
      <c r="A41" s="6" t="s">
        <v>56</v>
      </c>
      <c r="B41" s="49">
        <v>0.52500000000000002</v>
      </c>
      <c r="C41" s="5"/>
      <c r="D41" s="55">
        <v>0.2</v>
      </c>
      <c r="E41" s="56">
        <f t="shared" si="0"/>
        <v>200</v>
      </c>
      <c r="F41" s="5">
        <f>(2*ACOS((B24-D41)/B24))</f>
        <v>1.6821373411358604</v>
      </c>
      <c r="G41" s="5"/>
      <c r="H41" s="5"/>
      <c r="I41" s="5"/>
      <c r="J41" s="5"/>
      <c r="K41" s="5"/>
      <c r="L41" s="53"/>
      <c r="AE41" s="54"/>
    </row>
    <row r="42" spans="1:31" s="6" customFormat="1" hidden="1" x14ac:dyDescent="0.25">
      <c r="A42" s="6" t="s">
        <v>57</v>
      </c>
      <c r="B42" s="49">
        <f>ROUNDDOWN(PI() * (B41/2)^2,3)</f>
        <v>0.216</v>
      </c>
      <c r="C42" s="5"/>
      <c r="D42" s="55">
        <v>0.1</v>
      </c>
      <c r="E42" s="56">
        <f t="shared" si="0"/>
        <v>100</v>
      </c>
      <c r="F42" s="5">
        <f>(2*ACOS((B24-D42)/B24))</f>
        <v>1.1713710869143017</v>
      </c>
      <c r="G42" s="5"/>
      <c r="H42" s="5"/>
      <c r="I42" s="5"/>
      <c r="J42" s="5"/>
      <c r="K42" s="5"/>
      <c r="L42" s="53"/>
      <c r="AE42" s="54"/>
    </row>
    <row r="43" spans="1:31" s="6" customFormat="1" hidden="1" x14ac:dyDescent="0.25">
      <c r="A43" s="6" t="s">
        <v>58</v>
      </c>
      <c r="B43" s="49">
        <v>2</v>
      </c>
      <c r="C43" s="5"/>
      <c r="D43" s="55">
        <v>0</v>
      </c>
      <c r="E43" s="56">
        <f t="shared" si="0"/>
        <v>0</v>
      </c>
      <c r="F43" s="5">
        <f>(2*ACOS((B24-D43)/B24))</f>
        <v>0</v>
      </c>
      <c r="G43" s="5"/>
      <c r="H43" s="5"/>
      <c r="I43" s="5"/>
      <c r="J43" s="5"/>
      <c r="K43" s="5"/>
      <c r="L43" s="53"/>
      <c r="AE43" s="54"/>
    </row>
    <row r="44" spans="1:31" s="6" customFormat="1" hidden="1" x14ac:dyDescent="0.25">
      <c r="A44" s="6" t="s">
        <v>64</v>
      </c>
      <c r="B44" s="49">
        <v>90</v>
      </c>
      <c r="C44" s="5"/>
      <c r="D44" s="5"/>
      <c r="E44" s="5"/>
      <c r="F44" s="5"/>
      <c r="G44" s="5"/>
      <c r="H44" s="5"/>
      <c r="I44" s="5"/>
      <c r="J44" s="5"/>
      <c r="K44" s="53"/>
      <c r="AE44" s="54"/>
    </row>
    <row r="45" spans="1:31" s="6" customFormat="1" hidden="1" x14ac:dyDescent="0.25">
      <c r="A45" s="6" t="str">
        <f xml:space="preserve"> B44 &amp; "% Width =" &amp;  (B44/100)*2 &amp; " * radius r (m)"</f>
        <v>90% Width =1.8 * radius r (m)</v>
      </c>
      <c r="B45" s="49">
        <f>ROUNDDOWN(B41*(B44/100),3)</f>
        <v>0.47199999999999998</v>
      </c>
      <c r="C45" s="5"/>
      <c r="D45" s="5"/>
      <c r="E45" s="5"/>
      <c r="F45" s="5"/>
      <c r="G45" s="5"/>
      <c r="H45" s="5"/>
      <c r="I45" s="5"/>
      <c r="J45" s="5"/>
      <c r="K45" s="53"/>
      <c r="AE45" s="54"/>
    </row>
    <row r="46" spans="1:31" s="6" customFormat="1" hidden="1" x14ac:dyDescent="0.25">
      <c r="A46" s="6" t="s">
        <v>59</v>
      </c>
      <c r="B46" s="49" t="s">
        <v>65</v>
      </c>
      <c r="C46" s="5"/>
      <c r="D46" s="5"/>
      <c r="E46" s="5"/>
      <c r="F46" s="5"/>
      <c r="G46" s="5"/>
      <c r="H46" s="5"/>
      <c r="I46" s="5"/>
      <c r="J46" s="5"/>
      <c r="K46" s="53"/>
      <c r="AE46" s="54"/>
    </row>
    <row r="47" spans="1:31" s="6" customFormat="1" hidden="1" x14ac:dyDescent="0.25">
      <c r="A47" s="58" t="s">
        <v>60</v>
      </c>
      <c r="B47" s="49">
        <v>180</v>
      </c>
      <c r="C47" s="5"/>
      <c r="D47" s="5"/>
      <c r="E47" s="5"/>
      <c r="F47" s="5"/>
      <c r="G47" s="5"/>
      <c r="H47" s="5"/>
      <c r="I47" s="5"/>
      <c r="J47" s="5"/>
      <c r="K47" s="53"/>
      <c r="AE47" s="54"/>
    </row>
    <row r="48" spans="1:31" s="6" customFormat="1" hidden="1" x14ac:dyDescent="0.25">
      <c r="A48" s="6" t="str">
        <f xml:space="preserve"> "Sin(Φ) = O/H = " &amp; B48 &amp; "r/r"</f>
        <v>Sin(Φ) = O/H = 0.8r/r</v>
      </c>
      <c r="B48" s="49">
        <f>(B44/100)*2-1</f>
        <v>0.8</v>
      </c>
      <c r="C48" s="5"/>
      <c r="D48" s="5"/>
      <c r="E48" s="5"/>
      <c r="F48" s="5"/>
      <c r="G48" s="5"/>
      <c r="H48" s="5"/>
      <c r="I48" s="5"/>
      <c r="J48" s="5"/>
      <c r="K48" s="53"/>
      <c r="AE48" s="54"/>
    </row>
    <row r="49" spans="1:31" s="6" customFormat="1" hidden="1" x14ac:dyDescent="0.25">
      <c r="A49" s="6" t="s">
        <v>61</v>
      </c>
      <c r="B49" s="49">
        <f>ASIN(B48)</f>
        <v>0.9272952180016123</v>
      </c>
      <c r="C49" s="5"/>
      <c r="D49" s="5"/>
      <c r="E49" s="5"/>
      <c r="F49" s="5"/>
      <c r="G49" s="5"/>
      <c r="H49" s="5"/>
      <c r="I49" s="5"/>
      <c r="J49" s="5"/>
      <c r="K49" s="53"/>
      <c r="AE49" s="54"/>
    </row>
    <row r="50" spans="1:31" s="6" customFormat="1" hidden="1" x14ac:dyDescent="0.25">
      <c r="A50" s="6" t="s">
        <v>62</v>
      </c>
      <c r="B50" s="49">
        <f>B49*180/PI()</f>
        <v>53.13010235415598</v>
      </c>
      <c r="C50" s="5"/>
      <c r="D50" s="5"/>
      <c r="E50" s="5"/>
      <c r="F50" s="5"/>
      <c r="G50" s="5"/>
      <c r="H50" s="5"/>
      <c r="I50" s="5"/>
      <c r="J50" s="5"/>
      <c r="K50" s="53"/>
      <c r="AE50" s="54"/>
    </row>
    <row r="51" spans="1:31" s="6" customFormat="1" hidden="1" x14ac:dyDescent="0.25">
      <c r="A51" s="59" t="s">
        <v>63</v>
      </c>
      <c r="B51" s="49">
        <f xml:space="preserve"> PI() - 2*B49</f>
        <v>1.2870022175865685</v>
      </c>
      <c r="C51" s="5"/>
      <c r="D51" s="5"/>
      <c r="E51" s="5"/>
      <c r="F51" s="5"/>
      <c r="G51" s="5"/>
      <c r="H51" s="5"/>
      <c r="I51" s="5"/>
      <c r="J51" s="5"/>
      <c r="K51" s="53"/>
      <c r="AE51" s="54"/>
    </row>
    <row r="52" spans="1:31" s="6" customFormat="1" hidden="1" x14ac:dyDescent="0.25">
      <c r="A52" s="6" t="s">
        <v>67</v>
      </c>
      <c r="B52" s="49">
        <f>0.5*(B51-SIN(B51))*(B41/2)^2</f>
        <v>1.1266248277787246E-2</v>
      </c>
      <c r="C52" s="5"/>
      <c r="D52" s="5"/>
      <c r="E52" s="5"/>
      <c r="F52" s="5"/>
      <c r="G52" s="5"/>
      <c r="H52" s="5"/>
      <c r="I52" s="5"/>
      <c r="J52" s="5"/>
      <c r="K52" s="53"/>
      <c r="AE52" s="54"/>
    </row>
    <row r="53" spans="1:31" s="6" customFormat="1" hidden="1" x14ac:dyDescent="0.25">
      <c r="A53" s="6" t="s">
        <v>66</v>
      </c>
      <c r="B53" s="49">
        <f>ROUNDDOWN(B42-B52,3)</f>
        <v>0.20399999999999999</v>
      </c>
      <c r="C53" s="5"/>
      <c r="D53" s="5"/>
      <c r="E53" s="5"/>
      <c r="F53" s="5"/>
      <c r="G53" s="5"/>
      <c r="H53" s="5"/>
      <c r="I53" s="5"/>
      <c r="J53" s="5"/>
      <c r="K53" s="53"/>
      <c r="AE53" s="54"/>
    </row>
    <row r="54" spans="1:31" s="6" customFormat="1" hidden="1" x14ac:dyDescent="0.25">
      <c r="A54" s="6" t="s">
        <v>68</v>
      </c>
      <c r="B54" s="49">
        <f>PI()</f>
        <v>3.1415926535897931</v>
      </c>
      <c r="C54" s="5"/>
      <c r="D54" s="5"/>
      <c r="E54" s="5"/>
      <c r="F54" s="5"/>
      <c r="G54" s="5"/>
      <c r="H54" s="5"/>
      <c r="I54" s="5"/>
      <c r="J54" s="5"/>
      <c r="K54" s="53"/>
      <c r="AE54" s="54"/>
    </row>
    <row r="55" spans="1:31" s="6" customFormat="1" hidden="1" x14ac:dyDescent="0.25">
      <c r="A55" s="58" t="s">
        <v>60</v>
      </c>
      <c r="B55" s="49">
        <f>B51+2*B49</f>
        <v>3.1415926535897931</v>
      </c>
      <c r="C55" s="5"/>
      <c r="D55" s="5"/>
      <c r="E55" s="5"/>
      <c r="F55" s="5"/>
      <c r="G55" s="5"/>
      <c r="H55" s="5"/>
      <c r="I55" s="5"/>
      <c r="J55" s="5"/>
      <c r="K55" s="53"/>
      <c r="AE55" s="54"/>
    </row>
    <row r="56" spans="1:31" s="6" customFormat="1" hidden="1" x14ac:dyDescent="0.25">
      <c r="A56" s="6" t="s">
        <v>69</v>
      </c>
      <c r="B56" s="49">
        <v>0.495</v>
      </c>
      <c r="C56" s="5"/>
      <c r="D56" s="5"/>
      <c r="E56" s="5"/>
      <c r="F56" s="5"/>
      <c r="G56" s="5"/>
      <c r="H56" s="5"/>
      <c r="I56" s="5"/>
      <c r="J56" s="5"/>
      <c r="K56" s="53"/>
      <c r="AE56" s="54"/>
    </row>
    <row r="57" spans="1:31" s="6" customFormat="1" hidden="1" x14ac:dyDescent="0.25">
      <c r="A57" s="6" t="s">
        <v>70</v>
      </c>
      <c r="B57" s="49">
        <v>0.29499999999999998</v>
      </c>
      <c r="C57" s="5"/>
      <c r="D57" s="5"/>
      <c r="E57" s="5"/>
      <c r="F57" s="5"/>
      <c r="G57" s="5"/>
      <c r="H57" s="5"/>
      <c r="I57" s="5"/>
      <c r="J57" s="5"/>
      <c r="K57" s="53"/>
      <c r="AE57" s="54"/>
    </row>
    <row r="58" spans="1:31" s="6" customFormat="1" hidden="1" x14ac:dyDescent="0.25">
      <c r="A58" s="6" t="s">
        <v>71</v>
      </c>
      <c r="B58" s="49">
        <f>ROUNDDOWN(B56*B57,3)</f>
        <v>0.14599999999999999</v>
      </c>
      <c r="C58" s="5"/>
      <c r="D58" s="5"/>
      <c r="E58" s="5"/>
      <c r="F58" s="5"/>
      <c r="G58" s="5"/>
      <c r="H58" s="5"/>
      <c r="I58" s="5"/>
      <c r="J58" s="5"/>
      <c r="K58" s="53"/>
      <c r="AE58" s="54"/>
    </row>
    <row r="59" spans="1:31" s="6" customFormat="1" hidden="1" x14ac:dyDescent="0.25">
      <c r="A59" s="6" t="s">
        <v>58</v>
      </c>
      <c r="B59" s="49">
        <v>2</v>
      </c>
      <c r="C59" s="5"/>
      <c r="D59" s="5"/>
      <c r="E59" s="5"/>
      <c r="F59" s="5"/>
      <c r="G59" s="5"/>
      <c r="H59" s="5"/>
      <c r="I59" s="5"/>
      <c r="J59" s="5"/>
      <c r="K59" s="53"/>
      <c r="AE59" s="54"/>
    </row>
    <row r="60" spans="1:31" s="6" customFormat="1" hidden="1" x14ac:dyDescent="0.25">
      <c r="C60" s="5"/>
      <c r="D60" s="5"/>
      <c r="E60" s="5"/>
      <c r="F60" s="5"/>
      <c r="G60" s="5"/>
      <c r="H60" s="5"/>
      <c r="I60" s="5"/>
      <c r="J60" s="5"/>
      <c r="K60" s="53"/>
      <c r="AE60" s="54"/>
    </row>
    <row r="61" spans="1:31" s="6" customFormat="1" hidden="1" x14ac:dyDescent="0.25">
      <c r="A61" s="6" t="s">
        <v>127</v>
      </c>
      <c r="B61" s="49" t="s">
        <v>157</v>
      </c>
      <c r="C61" s="5"/>
      <c r="D61" s="5"/>
      <c r="E61" s="5"/>
      <c r="F61" s="5"/>
      <c r="G61" s="5"/>
      <c r="H61" s="5"/>
      <c r="I61" s="5"/>
      <c r="J61" s="5"/>
      <c r="K61" s="53"/>
      <c r="AE61" s="54"/>
    </row>
    <row r="62" spans="1:31" s="6" customFormat="1" hidden="1" x14ac:dyDescent="0.25">
      <c r="A62" s="6" t="s">
        <v>125</v>
      </c>
      <c r="B62" s="49">
        <v>1.25</v>
      </c>
      <c r="C62" s="5"/>
      <c r="D62" s="5"/>
      <c r="E62" s="5"/>
      <c r="F62" s="5"/>
      <c r="G62" s="5"/>
      <c r="H62" s="5"/>
      <c r="I62" s="5"/>
      <c r="J62" s="5"/>
      <c r="K62" s="53"/>
      <c r="AE62" s="54"/>
    </row>
    <row r="63" spans="1:31" s="6" customFormat="1" hidden="1" x14ac:dyDescent="0.25">
      <c r="A63" s="6" t="s">
        <v>133</v>
      </c>
      <c r="B63" s="49">
        <f>'Sizes &amp; Dimensions'!D19</f>
        <v>0.9</v>
      </c>
      <c r="C63" s="5"/>
      <c r="D63" s="5"/>
      <c r="E63" s="5"/>
      <c r="F63" s="5"/>
      <c r="G63" s="5"/>
      <c r="H63" s="5"/>
      <c r="I63" s="5"/>
      <c r="J63" s="5"/>
      <c r="K63" s="53"/>
      <c r="AE63" s="54"/>
    </row>
    <row r="64" spans="1:31" s="6" customFormat="1" hidden="1" x14ac:dyDescent="0.25">
      <c r="A64" s="6" t="s">
        <v>134</v>
      </c>
      <c r="B64" s="49">
        <f>'Sizes &amp; Dimensions'!D20</f>
        <v>1.2</v>
      </c>
      <c r="C64" s="5"/>
      <c r="D64" s="5"/>
      <c r="E64" s="5"/>
      <c r="F64" s="5"/>
      <c r="G64" s="5"/>
      <c r="H64" s="5"/>
      <c r="I64" s="5"/>
      <c r="J64" s="5"/>
      <c r="K64" s="53"/>
      <c r="AE64" s="54"/>
    </row>
    <row r="65" spans="1:31" s="6" customFormat="1" hidden="1" x14ac:dyDescent="0.25">
      <c r="A65" s="6" t="s">
        <v>135</v>
      </c>
      <c r="B65" s="49">
        <f>ROUNDUP(B64/B63,2)</f>
        <v>1.34</v>
      </c>
      <c r="C65" s="5"/>
      <c r="D65" s="5"/>
      <c r="E65" s="5"/>
      <c r="F65" s="5"/>
      <c r="G65" s="5"/>
      <c r="H65" s="5"/>
      <c r="I65" s="5"/>
      <c r="J65" s="5"/>
      <c r="K65" s="53"/>
      <c r="AE65" s="54"/>
    </row>
    <row r="66" spans="1:31" s="6" customFormat="1" hidden="1" x14ac:dyDescent="0.25">
      <c r="B66" s="49"/>
      <c r="C66" s="5"/>
      <c r="D66" s="5"/>
      <c r="E66" s="5"/>
      <c r="F66" s="5"/>
      <c r="G66" s="5"/>
      <c r="H66" s="5"/>
      <c r="I66" s="5"/>
      <c r="J66" s="5"/>
      <c r="K66" s="53"/>
      <c r="AE66" s="54"/>
    </row>
    <row r="67" spans="1:31" s="6" customFormat="1" hidden="1" x14ac:dyDescent="0.25">
      <c r="B67" s="49"/>
      <c r="C67" s="5"/>
      <c r="D67" s="5"/>
      <c r="E67" s="5"/>
      <c r="F67" s="5"/>
      <c r="G67" s="5"/>
      <c r="H67" s="5"/>
      <c r="I67" s="5"/>
      <c r="J67" s="5"/>
      <c r="K67" s="53"/>
      <c r="AE67" s="54"/>
    </row>
    <row r="68" spans="1:31" s="6" customFormat="1" hidden="1" x14ac:dyDescent="0.25">
      <c r="B68" s="49"/>
      <c r="C68" s="5"/>
      <c r="D68" s="5"/>
      <c r="E68" s="5"/>
      <c r="F68" s="5"/>
      <c r="G68" s="5"/>
      <c r="H68" s="5"/>
      <c r="I68" s="5"/>
      <c r="J68" s="5"/>
      <c r="K68" s="53"/>
      <c r="AE68" s="54"/>
    </row>
    <row r="69" spans="1:31" s="6" customFormat="1" hidden="1" x14ac:dyDescent="0.25">
      <c r="B69" s="49"/>
      <c r="C69" s="5"/>
      <c r="D69" s="5"/>
      <c r="E69" s="5"/>
      <c r="F69" s="5"/>
      <c r="G69" s="5"/>
      <c r="H69" s="5"/>
      <c r="I69" s="5"/>
      <c r="J69" s="5"/>
      <c r="K69" s="53"/>
      <c r="AE69" s="54"/>
    </row>
    <row r="70" spans="1:31" s="6" customFormat="1" hidden="1" x14ac:dyDescent="0.25">
      <c r="A70" s="6" t="s">
        <v>103</v>
      </c>
      <c r="B70" s="49"/>
      <c r="C70" s="5"/>
      <c r="D70" s="5"/>
      <c r="E70" s="5"/>
      <c r="F70" s="5"/>
      <c r="G70" s="5"/>
      <c r="H70" s="5" t="s">
        <v>149</v>
      </c>
      <c r="I70" s="5"/>
      <c r="J70" s="5"/>
      <c r="K70" s="53"/>
      <c r="AE70" s="54"/>
    </row>
    <row r="71" spans="1:31" s="6" customFormat="1" hidden="1" x14ac:dyDescent="0.25">
      <c r="A71" s="6" t="s">
        <v>104</v>
      </c>
      <c r="B71" s="49">
        <v>1160</v>
      </c>
      <c r="C71" s="5"/>
      <c r="D71" s="5"/>
      <c r="E71" s="5">
        <v>1160</v>
      </c>
      <c r="F71" s="5">
        <v>1170</v>
      </c>
      <c r="G71" s="5"/>
      <c r="H71" s="5">
        <f>SUM(D71:G71)/2</f>
        <v>1165</v>
      </c>
      <c r="I71" s="5"/>
      <c r="J71" s="5"/>
      <c r="K71" s="53"/>
      <c r="AE71" s="54"/>
    </row>
    <row r="72" spans="1:31" s="6" customFormat="1" hidden="1" x14ac:dyDescent="0.25">
      <c r="A72" s="6" t="s">
        <v>105</v>
      </c>
      <c r="B72" s="49">
        <v>1170</v>
      </c>
      <c r="C72" s="5" t="s">
        <v>163</v>
      </c>
      <c r="D72" s="5"/>
      <c r="E72" s="5"/>
      <c r="F72" s="5"/>
      <c r="G72" s="5"/>
      <c r="H72" s="5"/>
      <c r="I72" s="5"/>
      <c r="J72" s="5"/>
      <c r="K72" s="53"/>
      <c r="AE72" s="54"/>
    </row>
    <row r="73" spans="1:31" s="6" customFormat="1" hidden="1" x14ac:dyDescent="0.25">
      <c r="A73" s="6" t="s">
        <v>108</v>
      </c>
      <c r="B73" s="60">
        <f>B71+(B72-B71)/2</f>
        <v>1165</v>
      </c>
      <c r="C73" s="5">
        <f>B73/(2*1000)</f>
        <v>0.58250000000000002</v>
      </c>
      <c r="D73" s="5" t="s">
        <v>150</v>
      </c>
      <c r="E73" s="5"/>
      <c r="F73" s="5"/>
      <c r="G73" s="5"/>
      <c r="H73" s="5"/>
      <c r="I73" s="5"/>
      <c r="J73" s="5"/>
      <c r="K73" s="53"/>
      <c r="AE73" s="54"/>
    </row>
    <row r="74" spans="1:31" s="6" customFormat="1" hidden="1" x14ac:dyDescent="0.25">
      <c r="A74" s="6" t="s">
        <v>106</v>
      </c>
      <c r="B74" s="49">
        <v>1185</v>
      </c>
      <c r="C74" s="5"/>
      <c r="D74" s="5"/>
      <c r="E74" s="5">
        <v>1185</v>
      </c>
      <c r="F74" s="5">
        <v>1205</v>
      </c>
      <c r="G74" s="5"/>
      <c r="H74" s="5">
        <f>SUM(D74:G74)/2</f>
        <v>1195</v>
      </c>
      <c r="I74" s="5"/>
      <c r="J74" s="5"/>
      <c r="K74" s="53"/>
      <c r="AE74" s="54"/>
    </row>
    <row r="75" spans="1:31" s="6" customFormat="1" hidden="1" x14ac:dyDescent="0.25">
      <c r="A75" s="6" t="s">
        <v>107</v>
      </c>
      <c r="B75" s="49">
        <v>1205</v>
      </c>
      <c r="C75" s="5" t="s">
        <v>163</v>
      </c>
      <c r="D75" s="5"/>
      <c r="E75" s="5"/>
      <c r="F75" s="5"/>
      <c r="G75" s="5"/>
      <c r="H75" s="5"/>
      <c r="I75" s="5"/>
      <c r="J75" s="5"/>
      <c r="K75" s="53"/>
      <c r="AE75" s="54"/>
    </row>
    <row r="76" spans="1:31" s="6" customFormat="1" hidden="1" x14ac:dyDescent="0.25">
      <c r="A76" s="6" t="s">
        <v>109</v>
      </c>
      <c r="B76" s="61">
        <f>B74+(B75-B74)/2</f>
        <v>1195</v>
      </c>
      <c r="C76" s="5">
        <f>B76/(2*1000)</f>
        <v>0.59750000000000003</v>
      </c>
      <c r="D76" s="5" t="s">
        <v>150</v>
      </c>
      <c r="E76" s="5"/>
      <c r="F76" s="5"/>
      <c r="G76" s="5"/>
      <c r="H76" s="5"/>
      <c r="I76" s="5"/>
      <c r="J76" s="5"/>
      <c r="K76" s="53"/>
      <c r="AE76" s="54"/>
    </row>
    <row r="77" spans="1:31" s="6" customFormat="1" hidden="1" x14ac:dyDescent="0.25">
      <c r="A77" s="6" t="s">
        <v>123</v>
      </c>
      <c r="B77" s="49">
        <f>VLOOKUP('Sizes &amp; Dimensions'!B7,E2:J25,4,FALSE)*('DP Settings'!B76/1000)</f>
        <v>7.1102500000000006</v>
      </c>
      <c r="C77" s="5"/>
      <c r="D77" s="5"/>
      <c r="E77" s="5"/>
      <c r="F77" s="5"/>
      <c r="G77" s="5"/>
      <c r="H77" s="5"/>
      <c r="I77" s="5"/>
      <c r="J77" s="5"/>
      <c r="K77" s="53"/>
      <c r="AE77" s="54"/>
    </row>
    <row r="78" spans="1:31" s="6" customFormat="1" hidden="1" x14ac:dyDescent="0.25">
      <c r="A78" s="6" t="s">
        <v>121</v>
      </c>
      <c r="B78" s="62">
        <v>630</v>
      </c>
      <c r="C78" s="5"/>
      <c r="D78" s="5"/>
      <c r="E78" s="5"/>
      <c r="F78" s="5"/>
      <c r="G78" s="5"/>
      <c r="H78" s="5"/>
      <c r="I78" s="5"/>
      <c r="J78" s="5"/>
      <c r="K78" s="53"/>
      <c r="AE78" s="54"/>
    </row>
    <row r="79" spans="1:31" s="6" customFormat="1" hidden="1" x14ac:dyDescent="0.25">
      <c r="A79" s="6" t="s">
        <v>158</v>
      </c>
      <c r="B79" s="62">
        <f>(VLOOKUP('Sizes &amp; Dimensions'!B7,E2:J25,4,FALSE)-(B78/1000))*('DP Settings'!B76/1000)</f>
        <v>6.3574000000000011</v>
      </c>
      <c r="C79" s="60" t="s">
        <v>120</v>
      </c>
      <c r="D79" s="46"/>
      <c r="E79" s="46"/>
      <c r="F79" s="46"/>
      <c r="G79" s="5"/>
      <c r="H79" s="5"/>
      <c r="I79" s="5"/>
      <c r="J79" s="5"/>
      <c r="K79" s="53"/>
      <c r="AE79" s="54"/>
    </row>
    <row r="80" spans="1:31" s="6" customFormat="1" hidden="1" x14ac:dyDescent="0.25">
      <c r="A80" s="6" t="s">
        <v>148</v>
      </c>
      <c r="C80" s="39" t="s">
        <v>115</v>
      </c>
      <c r="D80" s="5"/>
      <c r="E80" s="5"/>
      <c r="F80" s="5"/>
      <c r="G80" s="5"/>
      <c r="H80" s="5"/>
      <c r="I80" s="5"/>
      <c r="J80" s="5"/>
      <c r="K80" s="53"/>
      <c r="AE80" s="54"/>
    </row>
    <row r="81" spans="1:31" s="6" customFormat="1" hidden="1" x14ac:dyDescent="0.25">
      <c r="A81" s="6" t="s">
        <v>124</v>
      </c>
      <c r="B81" s="62">
        <f>ROUNDDOWN(VLOOKUP('Sizes &amp; Dimensions'!B7,E2:J25,5,FALSE),0)</f>
        <v>408</v>
      </c>
      <c r="C81" s="39" t="s">
        <v>122</v>
      </c>
      <c r="D81" s="5"/>
      <c r="E81" s="5"/>
      <c r="F81" s="5"/>
      <c r="G81" s="5"/>
      <c r="H81" s="5"/>
      <c r="I81" s="5"/>
      <c r="J81" s="5"/>
      <c r="K81" s="53"/>
      <c r="AE81" s="54"/>
    </row>
    <row r="82" spans="1:31" s="6" customFormat="1" hidden="1" x14ac:dyDescent="0.25">
      <c r="A82" s="6" t="s">
        <v>79</v>
      </c>
      <c r="B82" s="49">
        <f>ROUNDDOWN('Sizes &amp; Dimensions'!D13*'Sizes &amp; Dimensions'!H13*B79,2)</f>
        <v>1398.62</v>
      </c>
      <c r="C82" s="5">
        <f>B82*9.81</f>
        <v>13720.4622</v>
      </c>
      <c r="D82" s="5"/>
      <c r="E82" s="5"/>
      <c r="F82" s="5"/>
      <c r="G82" s="5"/>
      <c r="H82" s="5"/>
      <c r="I82" s="5"/>
      <c r="J82" s="5"/>
      <c r="K82" s="53"/>
      <c r="AE82" s="54"/>
    </row>
    <row r="83" spans="1:31" s="6" customFormat="1" hidden="1" x14ac:dyDescent="0.25">
      <c r="A83" s="6" t="s">
        <v>80</v>
      </c>
      <c r="B83" s="49">
        <f>ROUNDDOWN('Sizes &amp; Dimensions'!D14*'Sizes &amp; Dimensions'!H14*B79,2)</f>
        <v>0</v>
      </c>
      <c r="C83" s="5">
        <f>B83*9.81</f>
        <v>0</v>
      </c>
      <c r="D83" s="5"/>
      <c r="E83" s="5"/>
      <c r="F83" s="5"/>
      <c r="G83" s="5"/>
      <c r="H83" s="5"/>
      <c r="I83" s="5"/>
      <c r="J83" s="5"/>
      <c r="K83" s="53"/>
      <c r="AE83" s="54"/>
    </row>
    <row r="84" spans="1:31" s="6" customFormat="1" hidden="1" x14ac:dyDescent="0.25">
      <c r="A84" s="6" t="s">
        <v>81</v>
      </c>
      <c r="B84" s="49">
        <f>ROUNDDOWN('Sizes &amp; Dimensions'!D15*'Sizes &amp; Dimensions'!H15*B79,2)</f>
        <v>0</v>
      </c>
      <c r="C84" s="5">
        <f>B84*9.81</f>
        <v>0</v>
      </c>
      <c r="D84" s="5"/>
      <c r="E84" s="5"/>
      <c r="F84" s="5"/>
      <c r="G84" s="5"/>
      <c r="H84" s="5"/>
      <c r="I84" s="5"/>
      <c r="J84" s="5"/>
      <c r="K84" s="53"/>
      <c r="AE84" s="54"/>
    </row>
    <row r="85" spans="1:31" s="6" customFormat="1" hidden="1" x14ac:dyDescent="0.25">
      <c r="A85" s="6" t="s">
        <v>110</v>
      </c>
      <c r="B85" s="49">
        <f>ROUNDDOWN('Sizes &amp; Dimensions'!D16*'Sizes &amp; Dimensions'!H16*B79,2)</f>
        <v>3560.14</v>
      </c>
      <c r="C85" s="5">
        <f>B85*9.81</f>
        <v>34924.973400000003</v>
      </c>
      <c r="D85" s="5"/>
      <c r="E85" s="5"/>
      <c r="F85" s="5"/>
      <c r="G85" s="5"/>
      <c r="H85" s="5"/>
      <c r="I85" s="5"/>
      <c r="J85" s="5"/>
      <c r="K85" s="53"/>
      <c r="AE85" s="54"/>
    </row>
    <row r="86" spans="1:31" s="6" customFormat="1" hidden="1" x14ac:dyDescent="0.25">
      <c r="A86" s="6" t="s">
        <v>116</v>
      </c>
      <c r="B86" s="49">
        <f>ROUNDDOWN('Sizes &amp; Dimensions'!H16*B79*0.5*(B76/1000)^2*(1-(PI()/4)),2)</f>
        <v>1558.61</v>
      </c>
      <c r="C86" s="5">
        <f>B86*9.81</f>
        <v>15289.964099999999</v>
      </c>
      <c r="D86" s="5"/>
      <c r="E86" s="39" t="s">
        <v>118</v>
      </c>
      <c r="F86" s="5"/>
      <c r="G86" s="5"/>
      <c r="H86" s="5"/>
      <c r="I86" s="5"/>
      <c r="J86" s="5"/>
      <c r="K86" s="53"/>
      <c r="AE86" s="54"/>
    </row>
    <row r="87" spans="1:31" s="6" customFormat="1" hidden="1" x14ac:dyDescent="0.25">
      <c r="A87" s="6" t="s">
        <v>136</v>
      </c>
      <c r="B87" s="49">
        <f>ROUNDDOWN(SUM(B81:B86),0)</f>
        <v>6925</v>
      </c>
      <c r="C87" s="5">
        <f>SUM(C82:C86)</f>
        <v>63935.399700000002</v>
      </c>
      <c r="D87" s="5" t="s">
        <v>113</v>
      </c>
      <c r="E87" s="5"/>
      <c r="F87" s="5"/>
      <c r="G87" s="5"/>
      <c r="H87" s="5"/>
      <c r="I87" s="5"/>
      <c r="J87" s="5"/>
      <c r="K87" s="53"/>
      <c r="AE87" s="54"/>
    </row>
    <row r="88" spans="1:31" s="6" customFormat="1" hidden="1" x14ac:dyDescent="0.25">
      <c r="A88" s="63" t="s">
        <v>130</v>
      </c>
      <c r="B88" s="49">
        <f>ROUNDDOWN(B87*B63,0)</f>
        <v>6232</v>
      </c>
      <c r="C88" s="5"/>
      <c r="D88" s="5"/>
      <c r="E88" s="5"/>
      <c r="F88" s="5"/>
      <c r="G88" s="5"/>
      <c r="H88" s="5"/>
      <c r="I88" s="5"/>
      <c r="J88" s="5"/>
      <c r="K88" s="53"/>
      <c r="AE88" s="54"/>
    </row>
    <row r="89" spans="1:31" s="6" customFormat="1" hidden="1" x14ac:dyDescent="0.25">
      <c r="A89" s="6" t="s">
        <v>112</v>
      </c>
      <c r="B89" s="49">
        <f>VLOOKUP('Sizes &amp; Dimensions'!B7,E2:J25,3,FALSE) * B90</f>
        <v>6035</v>
      </c>
      <c r="C89" s="5">
        <f>B89*9.81</f>
        <v>59203.350000000006</v>
      </c>
      <c r="D89" s="5" t="s">
        <v>114</v>
      </c>
      <c r="E89" s="5"/>
      <c r="F89" s="5"/>
      <c r="G89" s="5"/>
      <c r="H89" s="5"/>
      <c r="I89" s="5"/>
      <c r="J89" s="5"/>
      <c r="K89" s="53"/>
      <c r="AE89" s="54"/>
    </row>
    <row r="90" spans="1:31" s="6" customFormat="1" hidden="1" x14ac:dyDescent="0.25">
      <c r="A90" s="6" t="s">
        <v>119</v>
      </c>
      <c r="B90" s="49">
        <v>1</v>
      </c>
      <c r="C90" s="5">
        <f>B90*9.81</f>
        <v>9.81</v>
      </c>
      <c r="D90" s="5"/>
      <c r="E90" s="5"/>
      <c r="F90" s="5"/>
      <c r="G90" s="5"/>
      <c r="H90" s="5"/>
      <c r="I90" s="5"/>
      <c r="J90" s="5"/>
      <c r="K90" s="53"/>
      <c r="AE90" s="54"/>
    </row>
    <row r="91" spans="1:31" s="6" customFormat="1" hidden="1" x14ac:dyDescent="0.25">
      <c r="A91" s="63" t="s">
        <v>131</v>
      </c>
      <c r="B91" s="49">
        <f>B89*B64</f>
        <v>7242</v>
      </c>
      <c r="C91" s="5">
        <f>B91*9.81</f>
        <v>71044.02</v>
      </c>
      <c r="D91" s="5"/>
      <c r="E91" s="5"/>
      <c r="F91" s="5"/>
      <c r="G91" s="5"/>
      <c r="H91" s="5"/>
      <c r="I91" s="5"/>
      <c r="J91" s="5"/>
      <c r="K91" s="53"/>
      <c r="AE91" s="54"/>
    </row>
    <row r="92" spans="1:31" s="6" customFormat="1" hidden="1" x14ac:dyDescent="0.25">
      <c r="A92" s="63" t="s">
        <v>132</v>
      </c>
      <c r="B92" s="64">
        <f>B88-B91</f>
        <v>-1010</v>
      </c>
      <c r="C92" s="5">
        <f>ROUNDDOWN(C87-C89,0)</f>
        <v>4732</v>
      </c>
      <c r="D92" s="5" t="s">
        <v>117</v>
      </c>
      <c r="E92" s="5"/>
      <c r="F92" s="5"/>
      <c r="G92" s="5"/>
      <c r="H92" s="5"/>
      <c r="I92" s="5"/>
      <c r="J92" s="5"/>
      <c r="K92" s="53"/>
      <c r="AE92" s="54"/>
    </row>
    <row r="93" spans="1:31" s="6" customFormat="1" hidden="1" x14ac:dyDescent="0.25">
      <c r="A93" s="63" t="s">
        <v>126</v>
      </c>
      <c r="B93" s="65">
        <f>IF(B92&lt;0,-B92,0)</f>
        <v>1010</v>
      </c>
      <c r="C93" s="5"/>
      <c r="D93" s="5"/>
      <c r="E93" s="5"/>
      <c r="F93" s="5"/>
      <c r="G93" s="5"/>
      <c r="H93" s="5"/>
      <c r="I93" s="5"/>
      <c r="J93" s="5"/>
      <c r="K93" s="53"/>
      <c r="AE93" s="54"/>
    </row>
    <row r="94" spans="1:31" s="6" customFormat="1" hidden="1" x14ac:dyDescent="0.25">
      <c r="B94" s="49"/>
      <c r="C94" s="5"/>
      <c r="D94" s="5"/>
      <c r="E94" s="5"/>
      <c r="F94" s="5"/>
      <c r="G94" s="5"/>
      <c r="H94" s="5"/>
      <c r="I94" s="5"/>
      <c r="J94" s="5"/>
      <c r="K94" s="53"/>
      <c r="AE94" s="54"/>
    </row>
    <row r="95" spans="1:31" s="6" customFormat="1" hidden="1" x14ac:dyDescent="0.25">
      <c r="A95" s="63" t="s">
        <v>151</v>
      </c>
      <c r="B95" s="66">
        <f>'Sizes &amp; Dimensions'!D17</f>
        <v>0.55000000000000004</v>
      </c>
      <c r="C95" s="5"/>
      <c r="D95" s="5"/>
      <c r="E95" s="5" t="s">
        <v>164</v>
      </c>
      <c r="F95" s="5"/>
      <c r="G95" s="5" t="s">
        <v>165</v>
      </c>
      <c r="H95" s="5"/>
      <c r="I95" s="5"/>
      <c r="J95" s="5"/>
      <c r="K95" s="5"/>
      <c r="L95" s="53"/>
      <c r="AE95" s="54"/>
    </row>
    <row r="96" spans="1:31" s="6" customFormat="1" hidden="1" x14ac:dyDescent="0.25">
      <c r="A96" s="63" t="s">
        <v>172</v>
      </c>
      <c r="B96" s="66">
        <f>'Sizes &amp; Dimensions'!D17+B76/1000</f>
        <v>1.7450000000000001</v>
      </c>
      <c r="C96" s="5" t="str">
        <f>'Sizes &amp; Dimensions'!B13</f>
        <v>Layer 1 (Finish) (m)</v>
      </c>
      <c r="D96" s="5">
        <f>'Sizes &amp; Dimensions'!D13</f>
        <v>0.2</v>
      </c>
      <c r="E96" s="5">
        <f>'Sizes &amp; Dimensions'!H13</f>
        <v>1100</v>
      </c>
      <c r="F96" s="5"/>
      <c r="G96" s="5">
        <f>'Sizes &amp; Dimensions'!M13</f>
        <v>500</v>
      </c>
      <c r="H96" s="5"/>
      <c r="I96" s="67" t="s">
        <v>295</v>
      </c>
      <c r="J96" s="5"/>
      <c r="K96" s="5"/>
      <c r="L96" s="53"/>
      <c r="AE96" s="54"/>
    </row>
    <row r="97" spans="1:31" s="6" customFormat="1" hidden="1" x14ac:dyDescent="0.25">
      <c r="A97" s="63" t="s">
        <v>152</v>
      </c>
      <c r="B97" s="66">
        <f>'Sizes &amp; Dimensions'!D11</f>
        <v>0</v>
      </c>
      <c r="C97" s="5" t="str">
        <f>'Sizes &amp; Dimensions'!B14</f>
        <v>Layer 2 (m)</v>
      </c>
      <c r="D97" s="5">
        <f>'Sizes &amp; Dimensions'!D14</f>
        <v>0</v>
      </c>
      <c r="E97" s="5">
        <f>'Sizes &amp; Dimensions'!H14</f>
        <v>1600</v>
      </c>
      <c r="F97" s="5"/>
      <c r="G97" s="5">
        <f>'Sizes &amp; Dimensions'!M14</f>
        <v>1000</v>
      </c>
      <c r="H97" s="5"/>
      <c r="I97" s="67" t="s">
        <v>294</v>
      </c>
      <c r="J97" s="5"/>
      <c r="K97" s="5"/>
      <c r="L97" s="53"/>
      <c r="AE97" s="54"/>
    </row>
    <row r="98" spans="1:31" s="6" customFormat="1" hidden="1" x14ac:dyDescent="0.25">
      <c r="A98" s="63" t="s">
        <v>174</v>
      </c>
      <c r="B98" s="66">
        <f>IF(B97&lt;B96,B96-B97,0)</f>
        <v>1.7450000000000001</v>
      </c>
      <c r="C98" s="5" t="str">
        <f>'Sizes &amp; Dimensions'!B15</f>
        <v>Layer 3 (m)</v>
      </c>
      <c r="D98" s="5">
        <f>'Sizes &amp; Dimensions'!D15</f>
        <v>0</v>
      </c>
      <c r="E98" s="5">
        <f>'Sizes &amp; Dimensions'!H15</f>
        <v>1600</v>
      </c>
      <c r="F98" s="5"/>
      <c r="G98" s="5">
        <f>'Sizes &amp; Dimensions'!M15</f>
        <v>1000</v>
      </c>
      <c r="H98" s="5"/>
      <c r="I98" s="68" t="s">
        <v>292</v>
      </c>
      <c r="J98" s="5"/>
      <c r="K98" s="5"/>
      <c r="L98" s="53"/>
      <c r="AE98" s="54"/>
    </row>
    <row r="99" spans="1:31" s="6" customFormat="1" hidden="1" x14ac:dyDescent="0.25">
      <c r="A99" s="63"/>
      <c r="B99" s="69"/>
      <c r="C99" s="5" t="str">
        <f>'Sizes &amp; Dimensions'!B16</f>
        <v>Layer 4 (Hardfill) (m)</v>
      </c>
      <c r="D99" s="5">
        <f>'Sizes &amp; Dimensions'!D16</f>
        <v>0.35</v>
      </c>
      <c r="E99" s="5">
        <f>'Sizes &amp; Dimensions'!H16</f>
        <v>1600</v>
      </c>
      <c r="F99" s="5"/>
      <c r="G99" s="5">
        <f>'Sizes &amp; Dimensions'!M16</f>
        <v>1000</v>
      </c>
      <c r="H99" s="5"/>
      <c r="I99" s="67" t="s">
        <v>293</v>
      </c>
      <c r="J99" s="5"/>
      <c r="K99" s="5"/>
      <c r="L99" s="53"/>
      <c r="AE99" s="54"/>
    </row>
    <row r="100" spans="1:31" s="6" customFormat="1" hidden="1" x14ac:dyDescent="0.25">
      <c r="A100" s="63" t="s">
        <v>162</v>
      </c>
      <c r="B100" s="70">
        <f>IF(B98&lt;(B76/1000),IF(B98&gt;0,(2*ACOS((C76-B98)/C76)),0),2*PI())</f>
        <v>6.2831853071795862</v>
      </c>
      <c r="C100" s="5" t="str">
        <f>'Sizes &amp; Dimensions'!B17</f>
        <v>Depth of cover (m)</v>
      </c>
      <c r="D100" s="5">
        <f>'Sizes &amp; Dimensions'!D17</f>
        <v>0.55000000000000004</v>
      </c>
      <c r="E100" s="5" t="s">
        <v>129</v>
      </c>
      <c r="F100" s="5"/>
      <c r="G100" s="5" t="s">
        <v>129</v>
      </c>
      <c r="H100" s="5"/>
      <c r="I100" s="5"/>
      <c r="J100" s="5"/>
      <c r="K100" s="5"/>
      <c r="L100" s="53"/>
      <c r="AE100" s="54"/>
    </row>
    <row r="101" spans="1:31" s="6" customFormat="1" hidden="1" x14ac:dyDescent="0.25">
      <c r="A101" s="63" t="s">
        <v>161</v>
      </c>
      <c r="B101" s="69">
        <f>B100*180/PI()</f>
        <v>360</v>
      </c>
      <c r="C101" s="5" t="s">
        <v>175</v>
      </c>
      <c r="D101" s="5">
        <f>B76/1000</f>
        <v>1.1950000000000001</v>
      </c>
      <c r="E101" s="5"/>
      <c r="F101" s="5"/>
      <c r="G101" s="5"/>
      <c r="H101" s="5"/>
      <c r="I101" s="5"/>
      <c r="J101" s="5"/>
      <c r="K101" s="53"/>
      <c r="AE101" s="54"/>
    </row>
    <row r="102" spans="1:31" s="6" customFormat="1" hidden="1" x14ac:dyDescent="0.25">
      <c r="A102" s="63" t="s">
        <v>154</v>
      </c>
      <c r="B102" s="69">
        <f>ROUNDUP(VLOOKUP('Sizes &amp; Dimensions'!B7,'DP Settings'!E2:K25,7,FALSE)*0.5*('DP Settings'!C76)^2*(('DP Settings'!B100-SIN('DP Settings'!B100))*1000),0)</f>
        <v>6036</v>
      </c>
      <c r="C102" s="5" t="s">
        <v>165</v>
      </c>
      <c r="D102" s="5" t="s">
        <v>167</v>
      </c>
      <c r="E102" s="5" t="s">
        <v>168</v>
      </c>
      <c r="F102" s="5" t="s">
        <v>169</v>
      </c>
      <c r="G102" s="5" t="s">
        <v>170</v>
      </c>
      <c r="H102" s="5" t="s">
        <v>195</v>
      </c>
      <c r="I102" s="5"/>
      <c r="J102" s="5" t="s">
        <v>169</v>
      </c>
      <c r="K102" s="5" t="s">
        <v>170</v>
      </c>
      <c r="L102" s="5" t="s">
        <v>195</v>
      </c>
      <c r="AE102" s="54"/>
    </row>
    <row r="103" spans="1:31" s="6" customFormat="1" hidden="1" x14ac:dyDescent="0.25">
      <c r="A103" s="63" t="s">
        <v>153</v>
      </c>
      <c r="B103" s="66">
        <f>B95+C76</f>
        <v>1.1475</v>
      </c>
      <c r="C103" s="5" t="s">
        <v>75</v>
      </c>
      <c r="D103" s="44">
        <f>D96-E103</f>
        <v>0.2</v>
      </c>
      <c r="E103" s="44">
        <f>IF(B98&gt;((B76/1000)+D99+D98+D97),IF(B98&lt;(B76/1000)+D99+D98+D97+D96,((B76/1000)+D99+D98+D97+D96-B98),0),D96)</f>
        <v>0</v>
      </c>
      <c r="F103" s="41">
        <f>IF('Sizes &amp; Dimensions'!E13='DP Settings'!A163,(VLOOKUP('Sizes &amp; Dimensions'!B7,E2:L25,7,FALSE)*(B76/1000) -PI()*((B78/2000)^2))*D103*G96,IF('Sizes &amp; Dimensions'!E13='DP Settings'!A161,((VLOOKUP('Sizes &amp; Dimensions'!B7,E2:L25,7,FALSE)+C153)*((B76/1000)+C152) -PI()*((B78/2000)^2))*D103*G96,IF('Sizes &amp; Dimensions'!E13='DP Settings'!A162,((VLOOKUP('Sizes &amp; Dimensions'!B7,E2:L25,7,FALSE)+C158)*((B76/1000)+C157)-PI()*((B78/2000)^2))*D103*G96,0)))</f>
        <v>611.8570468947554</v>
      </c>
      <c r="G103" s="41">
        <f>IF('Sizes &amp; Dimensions'!E13='DP Settings'!A163,(VLOOKUP('Sizes &amp; Dimensions'!B7,E2:L25,7,FALSE)*(B76/1000) -PI()*((B78/2000)^2))*E103*E96,IF('Sizes &amp; Dimensions'!E13='DP Settings'!A161,((VLOOKUP('Sizes &amp; Dimensions'!B7,E2:L25,7,FALSE)+C153)*((B76/1000)+C152) -PI()*((B78/2000)^2))* E103*E96,IF('Sizes &amp; Dimensions'!E13='DP Settings'!A162,((VLOOKUP('Sizes &amp; Dimensions'!B7,E2:L25,7,FALSE)+C158)*((B76/1000)+C157) -PI()*((B78/2000)^2))* E103*E96,0)))</f>
        <v>0</v>
      </c>
      <c r="H103" s="41">
        <f>F103+G103</f>
        <v>611.8570468947554</v>
      </c>
      <c r="I103" s="5"/>
      <c r="J103" s="5">
        <f>VLOOKUP('Sizes &amp; Dimensions'!B7,E2:L25,7,FALSE)*(B76/1000)*D103*G96</f>
        <v>643.0295000000001</v>
      </c>
      <c r="K103" s="53">
        <f>VLOOKUP('Sizes &amp; Dimensions'!B7,E2:L25,7,FALSE)*(B76/1000)*E103*E96</f>
        <v>0</v>
      </c>
      <c r="L103" s="53">
        <f>SUM(J103:K103)</f>
        <v>643.0295000000001</v>
      </c>
      <c r="AE103" s="54"/>
    </row>
    <row r="104" spans="1:31" s="6" customFormat="1" hidden="1" x14ac:dyDescent="0.25">
      <c r="A104" s="63" t="s">
        <v>173</v>
      </c>
      <c r="B104" s="70">
        <f>B96-B103</f>
        <v>0.59750000000000014</v>
      </c>
      <c r="C104" s="5" t="s">
        <v>102</v>
      </c>
      <c r="D104" s="44">
        <f>D97-E104</f>
        <v>0</v>
      </c>
      <c r="E104" s="44">
        <f>IF(B98&gt;((B76/1000)+D99+D98),IF(B98&lt;(B76/1000)+D99+D98+D97,((B76/1000)+D99+D98+D97-B98),0),D97)</f>
        <v>0</v>
      </c>
      <c r="F104" s="41">
        <f>(VLOOKUP('Sizes &amp; Dimensions'!B7,E2:L25,7,FALSE)*(B76/1000) -PI()*((B78/2000)^2))*D104*G97</f>
        <v>0</v>
      </c>
      <c r="G104" s="41">
        <f>(VLOOKUP('Sizes &amp; Dimensions'!B7,E2:L25,7,FALSE)*(B76/1000) -PI()*((B78/2000)^2))*E104*E97</f>
        <v>0</v>
      </c>
      <c r="H104" s="41">
        <f>F104+G104</f>
        <v>0</v>
      </c>
      <c r="I104" s="5"/>
      <c r="J104" s="5"/>
      <c r="K104" s="53"/>
      <c r="AE104" s="54"/>
    </row>
    <row r="105" spans="1:31" s="6" customFormat="1" hidden="1" x14ac:dyDescent="0.25">
      <c r="B105" s="69"/>
      <c r="C105" s="5" t="s">
        <v>101</v>
      </c>
      <c r="D105" s="44">
        <f>D98-E105</f>
        <v>0</v>
      </c>
      <c r="E105" s="44">
        <f>IF(B98&gt;((B76/1000)+D99),IF(B98&lt;(B76/1000)+D99+D98,((B76/1000)+D99+D98-B98),0),D98)</f>
        <v>0</v>
      </c>
      <c r="F105" s="41">
        <f>(VLOOKUP('Sizes &amp; Dimensions'!B7,E2:L25,7,FALSE)*(B76/1000) -PI()*((B78/2000)^2))*D105*G98</f>
        <v>0</v>
      </c>
      <c r="G105" s="41">
        <f>(VLOOKUP('Sizes &amp; Dimensions'!B7,E2:L25,7,FALSE)*(B76/1000) -PI()*((B78/2000)^2))*E105*E98</f>
        <v>0</v>
      </c>
      <c r="H105" s="41">
        <f>F105+G105</f>
        <v>0</v>
      </c>
      <c r="I105" s="5"/>
      <c r="J105" s="5"/>
      <c r="K105" s="53"/>
      <c r="AE105" s="54"/>
    </row>
    <row r="106" spans="1:31" s="6" customFormat="1" hidden="1" x14ac:dyDescent="0.25">
      <c r="A106" s="63" t="s">
        <v>199</v>
      </c>
      <c r="B106" s="71">
        <f>0.5*('DP Settings'!C76)^2*(('DP Settings'!B100-SIN('DP Settings'!B100)))</f>
        <v>1.1215682122856412</v>
      </c>
      <c r="C106" s="5" t="s">
        <v>100</v>
      </c>
      <c r="D106" s="44">
        <f>D99-E106</f>
        <v>0.35</v>
      </c>
      <c r="E106" s="44">
        <f>IF(B98&gt;(B76/1000),IF(B98&lt;(B76/1000)+D99,((B76/1000)+D99-B98),0),D99)</f>
        <v>0</v>
      </c>
      <c r="F106" s="41">
        <f>(VLOOKUP('Sizes &amp; Dimensions'!B7,E2:L25,7,FALSE)*(B76/1000) -PI()*((B78/2000)^2))*D106*G99</f>
        <v>2141.4996641316434</v>
      </c>
      <c r="G106" s="41">
        <f>(VLOOKUP('Sizes &amp; Dimensions'!B7,E2:L25,7,FALSE)*(B76/1000) -PI()*((B78/2000)^2))*E106*E99</f>
        <v>0</v>
      </c>
      <c r="H106" s="41">
        <f>F106+G106</f>
        <v>2141.4996641316434</v>
      </c>
      <c r="I106" s="5"/>
      <c r="J106" s="5"/>
      <c r="K106" s="53"/>
      <c r="AE106" s="54"/>
    </row>
    <row r="107" spans="1:31" s="6" customFormat="1" hidden="1" x14ac:dyDescent="0.25">
      <c r="A107" s="63" t="s">
        <v>176</v>
      </c>
      <c r="B107" s="72">
        <f>0.5*PI()*C76^2</f>
        <v>0.56078410614282059</v>
      </c>
      <c r="C107" s="73" t="s">
        <v>166</v>
      </c>
      <c r="D107" s="44">
        <f>IF((B98&gt;B104),IF(B98&lt;(B76/1000),B98-C76,C76),0)</f>
        <v>0.59750000000000003</v>
      </c>
      <c r="E107" s="44">
        <f>IF((B98&gt;B104),IF(B98&lt;(B103+C76),C76-D107,0),C76)</f>
        <v>0</v>
      </c>
      <c r="F107" s="41">
        <f>B110*VLOOKUP('Sizes &amp; Dimensions'!B7,E2:L25,7,FALSE)*G99</f>
        <v>824.52198734548267</v>
      </c>
      <c r="G107" s="52">
        <f>B111*VLOOKUP('Sizes &amp; Dimensions'!B7,E2:L25,7,FALSE)*E99</f>
        <v>0</v>
      </c>
      <c r="H107" s="41">
        <f>F107+G107</f>
        <v>824.52198734548267</v>
      </c>
      <c r="I107" s="5"/>
      <c r="J107" s="5"/>
      <c r="K107" s="53"/>
      <c r="AE107" s="54"/>
    </row>
    <row r="108" spans="1:31" s="6" customFormat="1" hidden="1" x14ac:dyDescent="0.25">
      <c r="A108" s="63" t="s">
        <v>201</v>
      </c>
      <c r="B108" s="71">
        <f>IF(B106&gt;B107, B106-B107,0)</f>
        <v>0.56078410614282059</v>
      </c>
      <c r="C108" s="5" t="s">
        <v>171</v>
      </c>
      <c r="D108" s="74">
        <f>B98</f>
        <v>1.7450000000000001</v>
      </c>
      <c r="E108" s="5"/>
      <c r="F108" s="41"/>
      <c r="G108" s="41"/>
      <c r="H108" s="41">
        <f>SUM(H103:H107)</f>
        <v>3577.8786983718815</v>
      </c>
      <c r="I108" s="5"/>
      <c r="J108" s="5"/>
      <c r="K108" s="53"/>
      <c r="AE108" s="54"/>
    </row>
    <row r="109" spans="1:31" s="6" customFormat="1" hidden="1" x14ac:dyDescent="0.25">
      <c r="A109" s="63" t="s">
        <v>198</v>
      </c>
      <c r="B109" s="72">
        <f>IF(B98&gt;(B76/(2*1000)),MIN(B98-(B76/(2*1000)),(B76/(2*1000))),0)</f>
        <v>0.59750000000000003</v>
      </c>
      <c r="C109" s="5"/>
      <c r="D109" s="74"/>
      <c r="E109" s="5"/>
      <c r="F109" s="5"/>
      <c r="G109" s="5"/>
      <c r="H109" s="5"/>
      <c r="I109" s="5"/>
      <c r="J109" s="5"/>
      <c r="K109" s="53"/>
      <c r="AE109" s="54"/>
    </row>
    <row r="110" spans="1:31" s="6" customFormat="1" hidden="1" x14ac:dyDescent="0.25">
      <c r="A110" s="63" t="s">
        <v>196</v>
      </c>
      <c r="B110" s="72">
        <f>((B76/1000)*B109)-B108</f>
        <v>0.15322839385717946</v>
      </c>
      <c r="C110" s="5" t="s">
        <v>164</v>
      </c>
      <c r="D110" s="5"/>
      <c r="E110" s="5" t="s">
        <v>168</v>
      </c>
      <c r="F110" s="5"/>
      <c r="G110" s="5" t="s">
        <v>170</v>
      </c>
      <c r="H110" s="5"/>
      <c r="I110" s="5"/>
      <c r="J110" s="5"/>
      <c r="K110" s="53"/>
      <c r="AE110" s="54"/>
    </row>
    <row r="111" spans="1:31" s="6" customFormat="1" hidden="1" x14ac:dyDescent="0.25">
      <c r="A111" s="63" t="s">
        <v>197</v>
      </c>
      <c r="B111" s="72">
        <f>B114-B107-B110</f>
        <v>0</v>
      </c>
      <c r="C111" s="5" t="s">
        <v>75</v>
      </c>
      <c r="D111" s="5"/>
      <c r="E111" s="5">
        <f>'Sizes &amp; Dimensions'!D13</f>
        <v>0.2</v>
      </c>
      <c r="F111" s="5"/>
      <c r="G111" s="41">
        <f>IF('Sizes &amp; Dimensions'!E13='DP Settings'!A163,(VLOOKUP('Sizes &amp; Dimensions'!B7,E2:L25,7,FALSE)*(B76/1000) -PI()*((B78/2000)^2))*E111*E96,IF('Sizes &amp; Dimensions'!E13='DP Settings'!A161,((VLOOKUP('Sizes &amp; Dimensions'!B7,E2:L25,7,FALSE)+C153)*((B76/1000)+C152) -PI()*((B78/2000)^2))* E111*E96,IF('Sizes &amp; Dimensions'!E13='DP Settings'!A162,((VLOOKUP('Sizes &amp; Dimensions'!B7,E2:L25,7,FALSE)+C158)*((B76/1000)+C157) -PI()*((B78/2000)^2))* E111*E96,0)))</f>
        <v>1346.0855031684619</v>
      </c>
      <c r="H111" s="5"/>
      <c r="I111" s="5"/>
      <c r="J111" s="5"/>
      <c r="K111" s="53"/>
      <c r="AE111" s="54"/>
    </row>
    <row r="112" spans="1:31" s="6" customFormat="1" hidden="1" x14ac:dyDescent="0.25">
      <c r="A112" s="63" t="s">
        <v>200</v>
      </c>
      <c r="B112" s="72">
        <f>B110+B111</f>
        <v>0.15322839385717946</v>
      </c>
      <c r="C112" s="5" t="s">
        <v>102</v>
      </c>
      <c r="D112" s="5"/>
      <c r="E112" s="5">
        <f>'Sizes &amp; Dimensions'!D14</f>
        <v>0</v>
      </c>
      <c r="F112" s="5"/>
      <c r="G112" s="41">
        <f>(VLOOKUP('Sizes &amp; Dimensions'!B7,E2:L25,7,FALSE)*(B76/1000) -PI()*((B78/2000)^2))*E112*E97</f>
        <v>0</v>
      </c>
      <c r="H112" s="5"/>
      <c r="I112" s="5"/>
      <c r="J112" s="5"/>
      <c r="K112" s="53"/>
      <c r="AE112" s="54"/>
    </row>
    <row r="113" spans="1:31" s="6" customFormat="1" hidden="1" x14ac:dyDescent="0.25">
      <c r="A113" s="63"/>
      <c r="B113" s="66"/>
      <c r="C113" s="5" t="s">
        <v>101</v>
      </c>
      <c r="D113" s="5"/>
      <c r="E113" s="5">
        <f>'Sizes &amp; Dimensions'!D15</f>
        <v>0</v>
      </c>
      <c r="F113" s="5"/>
      <c r="G113" s="41">
        <f>(VLOOKUP('Sizes &amp; Dimensions'!B7,E2:L25,7,FALSE)*(B76/1000) -PI()*((B78/2000)^2))*E113*E98</f>
        <v>0</v>
      </c>
      <c r="H113" s="5"/>
      <c r="I113" s="5"/>
      <c r="J113" s="5"/>
      <c r="K113" s="53"/>
      <c r="AE113" s="54"/>
    </row>
    <row r="114" spans="1:31" s="6" customFormat="1" hidden="1" x14ac:dyDescent="0.25">
      <c r="A114" s="63" t="s">
        <v>202</v>
      </c>
      <c r="B114" s="72">
        <f>0.5*(B76/1000)^2</f>
        <v>0.71401250000000005</v>
      </c>
      <c r="C114" s="5" t="s">
        <v>100</v>
      </c>
      <c r="D114" s="5"/>
      <c r="E114" s="5">
        <f>'Sizes &amp; Dimensions'!D16</f>
        <v>0.35</v>
      </c>
      <c r="F114" s="5"/>
      <c r="G114" s="41">
        <f>(VLOOKUP('Sizes &amp; Dimensions'!B7,E2:L25,7,FALSE)*(B76/1000) -PI()*((B78/2000)^2))*E114*E99</f>
        <v>3426.3994626106296</v>
      </c>
      <c r="H114" s="5"/>
      <c r="I114" s="5"/>
      <c r="J114" s="5"/>
      <c r="K114" s="53"/>
      <c r="AE114" s="54"/>
    </row>
    <row r="115" spans="1:31" s="6" customFormat="1" hidden="1" x14ac:dyDescent="0.25">
      <c r="A115" s="63" t="s">
        <v>203</v>
      </c>
      <c r="B115" s="66">
        <f>B114-B107</f>
        <v>0.15322839385717946</v>
      </c>
      <c r="C115" s="73" t="s">
        <v>166</v>
      </c>
      <c r="D115" s="5"/>
      <c r="E115" s="5">
        <f>B76/1000 /2</f>
        <v>0.59750000000000003</v>
      </c>
      <c r="F115" s="5"/>
      <c r="G115" s="52">
        <f>0.5*(B76/(2*1000))^2*(4-PI())*VLOOKUP('Sizes &amp; Dimensions'!B7,E2:L25,7,FALSE)*E99</f>
        <v>1319.2351797527726</v>
      </c>
      <c r="H115" s="5"/>
      <c r="I115" s="5"/>
      <c r="J115" s="5"/>
      <c r="K115" s="53"/>
      <c r="AE115" s="54"/>
    </row>
    <row r="116" spans="1:31" s="6" customFormat="1" hidden="1" x14ac:dyDescent="0.25">
      <c r="B116" s="66"/>
      <c r="C116" s="5"/>
      <c r="D116" s="5"/>
      <c r="E116" s="5"/>
      <c r="F116" s="5"/>
      <c r="G116" s="74"/>
      <c r="H116" s="41">
        <f>SUM(G111:G116)</f>
        <v>6091.7201455318636</v>
      </c>
      <c r="I116" s="5"/>
      <c r="J116" s="5"/>
      <c r="K116" s="53"/>
      <c r="AE116" s="54"/>
    </row>
    <row r="117" spans="1:31" s="6" customFormat="1" hidden="1" x14ac:dyDescent="0.25">
      <c r="A117" s="75" t="s">
        <v>140</v>
      </c>
      <c r="B117" s="49"/>
      <c r="C117" s="5"/>
      <c r="D117" s="5"/>
      <c r="E117" s="5"/>
      <c r="F117" s="5"/>
      <c r="G117" s="41"/>
      <c r="H117" s="5"/>
      <c r="I117" s="5"/>
      <c r="J117" s="5"/>
      <c r="K117" s="53"/>
      <c r="AE117" s="54"/>
    </row>
    <row r="118" spans="1:31" s="6" customFormat="1" hidden="1" x14ac:dyDescent="0.25">
      <c r="A118" s="75" t="s">
        <v>128</v>
      </c>
      <c r="B118" s="49">
        <f>2*B53*(((('DP Settings'!B76/1000)+'Sizes &amp; Dimensions'!D16)*'Sizes &amp; Dimensions'!H16)+('Sizes &amp; Dimensions'!D15*'Sizes &amp; Dimensions'!H15)+('Sizes &amp; Dimensions'!D14*'Sizes &amp; Dimensions'!H14)+('Sizes &amp; Dimensions'!D13*'Sizes &amp; Dimensions'!H13))</f>
        <v>1098.336</v>
      </c>
      <c r="C118" s="5"/>
      <c r="D118" s="5"/>
      <c r="E118" s="5"/>
      <c r="F118" s="5"/>
      <c r="G118" s="5"/>
      <c r="H118" s="5"/>
      <c r="I118" s="5"/>
      <c r="J118" s="5"/>
      <c r="K118" s="53"/>
      <c r="AE118" s="54"/>
    </row>
    <row r="119" spans="1:31" s="6" customFormat="1" hidden="1" x14ac:dyDescent="0.25">
      <c r="A119" s="75" t="s">
        <v>137</v>
      </c>
      <c r="B119" s="49">
        <f>B118*B63</f>
        <v>988.50240000000008</v>
      </c>
      <c r="C119" s="68" t="s">
        <v>250</v>
      </c>
      <c r="D119" s="5">
        <v>3800</v>
      </c>
      <c r="E119" s="5" t="s">
        <v>251</v>
      </c>
      <c r="F119" s="39" t="s">
        <v>285</v>
      </c>
      <c r="G119" s="5"/>
      <c r="H119" s="5"/>
      <c r="I119" s="5"/>
      <c r="J119" s="5"/>
      <c r="K119" s="53"/>
      <c r="AE119" s="54"/>
    </row>
    <row r="120" spans="1:31" s="6" customFormat="1" hidden="1" x14ac:dyDescent="0.25">
      <c r="A120" s="75" t="s">
        <v>138</v>
      </c>
      <c r="B120" s="49">
        <f>IF(B92&lt;0,MAX(ROUNDUP(B93/B119,0),2),0)</f>
        <v>2</v>
      </c>
      <c r="C120" s="5"/>
      <c r="D120" s="5"/>
      <c r="E120" s="5"/>
      <c r="F120" s="5"/>
      <c r="G120" s="5"/>
      <c r="H120" s="5"/>
      <c r="I120" s="5"/>
      <c r="J120" s="5"/>
      <c r="K120" s="53"/>
      <c r="AE120" s="54"/>
    </row>
    <row r="121" spans="1:31" s="6" customFormat="1" hidden="1" x14ac:dyDescent="0.25">
      <c r="A121" s="75" t="s">
        <v>139</v>
      </c>
      <c r="B121" s="49">
        <f>B88-B91+(B120*B119)</f>
        <v>967.00480000000016</v>
      </c>
      <c r="C121" s="5"/>
      <c r="D121" s="5"/>
      <c r="E121" s="5"/>
      <c r="F121" s="5"/>
      <c r="G121" s="5"/>
      <c r="H121" s="5"/>
      <c r="I121" s="5"/>
      <c r="J121" s="5"/>
      <c r="K121" s="53"/>
      <c r="AE121" s="54"/>
    </row>
    <row r="122" spans="1:31" s="6" customFormat="1" hidden="1" x14ac:dyDescent="0.25">
      <c r="B122" s="49"/>
      <c r="C122" s="5"/>
      <c r="D122" s="5"/>
      <c r="E122" s="5"/>
      <c r="F122" s="5"/>
      <c r="G122" s="5"/>
      <c r="H122" s="5"/>
      <c r="I122" s="5"/>
      <c r="J122" s="5"/>
      <c r="K122" s="53"/>
      <c r="AE122" s="54"/>
    </row>
    <row r="123" spans="1:31" s="6" customFormat="1" hidden="1" x14ac:dyDescent="0.25">
      <c r="A123" s="75" t="s">
        <v>142</v>
      </c>
      <c r="B123" s="49"/>
      <c r="C123" s="5"/>
      <c r="D123" s="5"/>
      <c r="E123" s="5"/>
      <c r="F123" s="5"/>
      <c r="G123" s="5"/>
      <c r="H123" s="5"/>
      <c r="I123" s="5"/>
      <c r="J123" s="5"/>
      <c r="K123" s="53"/>
      <c r="AE123" s="54"/>
    </row>
    <row r="124" spans="1:31" s="6" customFormat="1" hidden="1" x14ac:dyDescent="0.25">
      <c r="A124" s="75" t="s">
        <v>143</v>
      </c>
      <c r="B124" s="49">
        <f>0.94+(0.53/2)+(0.53/2)+0.94</f>
        <v>2.41</v>
      </c>
      <c r="C124" s="5"/>
      <c r="D124" s="5"/>
      <c r="E124" s="5"/>
      <c r="F124" s="5"/>
      <c r="G124" s="5"/>
      <c r="H124" s="5"/>
      <c r="I124" s="5"/>
      <c r="J124" s="5"/>
      <c r="K124" s="53"/>
      <c r="AE124" s="54"/>
    </row>
    <row r="125" spans="1:31" s="6" customFormat="1" hidden="1" x14ac:dyDescent="0.25">
      <c r="A125" s="75" t="s">
        <v>144</v>
      </c>
      <c r="B125" s="49">
        <f>('Sizes &amp; Dimensions'!E7-(0.94*2))/(B120-1)</f>
        <v>4.07</v>
      </c>
      <c r="C125" s="5">
        <f>MIN(('Sizes &amp; Dimensions'!E7-(0.94*2))/(B120-1),5)</f>
        <v>4.07</v>
      </c>
      <c r="D125" s="5" t="s">
        <v>213</v>
      </c>
      <c r="E125" s="5"/>
      <c r="F125" s="5"/>
      <c r="G125" s="5"/>
      <c r="H125" s="5"/>
      <c r="I125" s="5"/>
      <c r="J125" s="5"/>
      <c r="K125" s="53"/>
      <c r="AE125" s="54"/>
    </row>
    <row r="126" spans="1:31" s="6" customFormat="1" hidden="1" x14ac:dyDescent="0.25">
      <c r="A126" s="75" t="s">
        <v>145</v>
      </c>
      <c r="B126" s="49">
        <v>0.53</v>
      </c>
      <c r="C126" s="5"/>
      <c r="D126" s="5"/>
      <c r="E126" s="5"/>
      <c r="F126" s="5"/>
      <c r="G126" s="5"/>
      <c r="H126" s="5"/>
      <c r="I126" s="5"/>
      <c r="J126" s="5"/>
      <c r="K126" s="53"/>
      <c r="AE126" s="54"/>
    </row>
    <row r="127" spans="1:31" s="6" customFormat="1" hidden="1" x14ac:dyDescent="0.25">
      <c r="B127" s="76"/>
      <c r="C127" s="5"/>
      <c r="D127" s="5"/>
      <c r="E127" s="5"/>
      <c r="F127" s="5"/>
      <c r="G127" s="5"/>
      <c r="H127" s="5"/>
      <c r="I127" s="5"/>
      <c r="J127" s="5"/>
      <c r="K127" s="53"/>
      <c r="AE127" s="54"/>
    </row>
    <row r="128" spans="1:31" s="6" customFormat="1" hidden="1" x14ac:dyDescent="0.25">
      <c r="A128" s="75" t="s">
        <v>177</v>
      </c>
      <c r="B128" s="49"/>
      <c r="C128" s="5"/>
      <c r="D128" s="5"/>
      <c r="E128" s="5"/>
      <c r="F128" s="5"/>
      <c r="G128" s="5"/>
      <c r="H128" s="5"/>
      <c r="I128" s="5"/>
      <c r="J128" s="5"/>
      <c r="K128" s="53"/>
      <c r="AE128" s="54"/>
    </row>
    <row r="129" spans="1:31" s="6" customFormat="1" hidden="1" x14ac:dyDescent="0.25">
      <c r="A129" s="75" t="s">
        <v>182</v>
      </c>
      <c r="B129" s="69">
        <f>B102</f>
        <v>6036</v>
      </c>
      <c r="C129" s="5"/>
      <c r="D129" s="5"/>
      <c r="E129" s="5"/>
      <c r="F129" s="5"/>
      <c r="G129" s="5"/>
      <c r="H129" s="5"/>
      <c r="I129" s="5"/>
      <c r="J129" s="5"/>
      <c r="K129" s="53"/>
      <c r="AE129" s="54"/>
    </row>
    <row r="130" spans="1:31" s="6" customFormat="1" hidden="1" x14ac:dyDescent="0.25">
      <c r="A130" s="75" t="s">
        <v>181</v>
      </c>
      <c r="B130" s="49">
        <f>B102*B90</f>
        <v>6036</v>
      </c>
      <c r="C130" s="77" t="s">
        <v>205</v>
      </c>
      <c r="D130" s="5"/>
      <c r="E130" s="5"/>
      <c r="F130" s="5"/>
      <c r="G130" s="5"/>
      <c r="H130" s="5"/>
      <c r="I130" s="5"/>
      <c r="J130" s="5"/>
      <c r="K130" s="53"/>
      <c r="AE130" s="54"/>
    </row>
    <row r="131" spans="1:31" s="6" customFormat="1" hidden="1" x14ac:dyDescent="0.25">
      <c r="A131" s="75" t="s">
        <v>180</v>
      </c>
      <c r="B131" s="49">
        <f>B81</f>
        <v>408</v>
      </c>
      <c r="C131" s="77" t="s">
        <v>205</v>
      </c>
      <c r="D131" s="5"/>
      <c r="E131" s="5"/>
      <c r="F131" s="5"/>
      <c r="G131" s="5"/>
      <c r="H131" s="5"/>
      <c r="I131" s="5"/>
      <c r="J131" s="5"/>
      <c r="K131" s="53"/>
      <c r="AE131" s="54"/>
    </row>
    <row r="132" spans="1:31" s="6" customFormat="1" hidden="1" x14ac:dyDescent="0.25">
      <c r="A132" s="75" t="s">
        <v>183</v>
      </c>
      <c r="B132" s="76">
        <f>ROUNDDOWN(H108,0)</f>
        <v>3577</v>
      </c>
      <c r="C132" s="5"/>
      <c r="D132" s="5"/>
      <c r="E132" s="5"/>
      <c r="F132" s="5"/>
      <c r="G132" s="5"/>
      <c r="H132" s="5"/>
      <c r="I132" s="5"/>
      <c r="J132" s="5"/>
      <c r="K132" s="53"/>
      <c r="AE132" s="54"/>
    </row>
    <row r="133" spans="1:31" s="6" customFormat="1" hidden="1" x14ac:dyDescent="0.25">
      <c r="A133" s="78" t="s">
        <v>190</v>
      </c>
      <c r="B133" s="76" t="s">
        <v>193</v>
      </c>
      <c r="C133" s="79" t="s">
        <v>185</v>
      </c>
      <c r="D133" s="79" t="s">
        <v>167</v>
      </c>
      <c r="E133" s="79" t="s">
        <v>168</v>
      </c>
      <c r="F133" s="79" t="s">
        <v>169</v>
      </c>
      <c r="G133" s="79" t="s">
        <v>170</v>
      </c>
      <c r="H133" s="79" t="s">
        <v>186</v>
      </c>
      <c r="I133" s="80" t="s">
        <v>187</v>
      </c>
      <c r="J133" s="79"/>
      <c r="K133" s="53"/>
      <c r="AE133" s="54"/>
    </row>
    <row r="134" spans="1:31" s="6" customFormat="1" hidden="1" x14ac:dyDescent="0.25">
      <c r="A134" s="75" t="s">
        <v>178</v>
      </c>
      <c r="B134" s="81">
        <f>B132+B131-B130</f>
        <v>-2051</v>
      </c>
      <c r="C134" s="39" t="s">
        <v>75</v>
      </c>
      <c r="D134" s="5"/>
      <c r="E134" s="5"/>
      <c r="F134" s="41">
        <f>B42*D103*G96</f>
        <v>21.6</v>
      </c>
      <c r="G134" s="41">
        <f>B42*E103*E96</f>
        <v>0</v>
      </c>
      <c r="H134" s="41">
        <f t="shared" ref="H134:H137" si="1">F134+G134</f>
        <v>21.6</v>
      </c>
      <c r="I134" s="41">
        <f>H134*2</f>
        <v>43.2</v>
      </c>
      <c r="J134" s="5"/>
      <c r="K134" s="53"/>
      <c r="AE134" s="54"/>
    </row>
    <row r="135" spans="1:31" s="6" customFormat="1" hidden="1" x14ac:dyDescent="0.25">
      <c r="A135" s="75" t="s">
        <v>179</v>
      </c>
      <c r="B135" s="81">
        <f>B63*(B132+B131)-B64*B130</f>
        <v>-3656.7</v>
      </c>
      <c r="C135" s="39" t="s">
        <v>102</v>
      </c>
      <c r="D135" s="5"/>
      <c r="E135" s="5"/>
      <c r="F135" s="41">
        <f>B42*D104*G97</f>
        <v>0</v>
      </c>
      <c r="G135" s="41">
        <f>B42*E104*E97</f>
        <v>0</v>
      </c>
      <c r="H135" s="41">
        <f t="shared" si="1"/>
        <v>0</v>
      </c>
      <c r="I135" s="41">
        <f>H135*2</f>
        <v>0</v>
      </c>
      <c r="J135" s="5"/>
      <c r="K135" s="53"/>
      <c r="AE135" s="54"/>
    </row>
    <row r="136" spans="1:31" s="6" customFormat="1" hidden="1" x14ac:dyDescent="0.25">
      <c r="A136" s="75" t="s">
        <v>126</v>
      </c>
      <c r="B136" s="81">
        <f>IF(B135&lt;0,-B135,0)</f>
        <v>3656.7</v>
      </c>
      <c r="C136" s="39" t="s">
        <v>101</v>
      </c>
      <c r="D136" s="5"/>
      <c r="E136" s="5"/>
      <c r="F136" s="41">
        <f>B42*D105*G98</f>
        <v>0</v>
      </c>
      <c r="G136" s="41">
        <f>B42*E105*E98</f>
        <v>0</v>
      </c>
      <c r="H136" s="41">
        <f t="shared" si="1"/>
        <v>0</v>
      </c>
      <c r="I136" s="41">
        <f>H136*2</f>
        <v>0</v>
      </c>
      <c r="J136" s="5"/>
      <c r="K136" s="53"/>
      <c r="AE136" s="54"/>
    </row>
    <row r="137" spans="1:31" s="6" customFormat="1" hidden="1" x14ac:dyDescent="0.25">
      <c r="A137" s="75" t="s">
        <v>204</v>
      </c>
      <c r="B137" s="49">
        <f>IF(B136&gt;0,MAX(ROUNDUP(B136/I140,0),VLOOKUP('Sizes &amp; Dimensions'!B7,E2:N25,10,FALSE)),0)</f>
        <v>6</v>
      </c>
      <c r="C137" s="39" t="s">
        <v>100</v>
      </c>
      <c r="D137" s="5"/>
      <c r="E137" s="5"/>
      <c r="F137" s="41">
        <f>B42*D106*G99</f>
        <v>75.599999999999994</v>
      </c>
      <c r="G137" s="41">
        <f>B42*E106*E99</f>
        <v>0</v>
      </c>
      <c r="H137" s="41">
        <f t="shared" si="1"/>
        <v>75.599999999999994</v>
      </c>
      <c r="I137" s="41">
        <f>H137*2</f>
        <v>151.19999999999999</v>
      </c>
      <c r="J137" s="5"/>
      <c r="K137" s="53"/>
      <c r="AE137" s="54"/>
    </row>
    <row r="138" spans="1:31" s="6" customFormat="1" hidden="1" x14ac:dyDescent="0.25">
      <c r="A138" s="75" t="s">
        <v>185</v>
      </c>
      <c r="B138" s="49">
        <f>B137*I140</f>
        <v>3767.4719999999998</v>
      </c>
      <c r="C138" s="82" t="s">
        <v>192</v>
      </c>
      <c r="D138" s="5">
        <f>IF(B98-B40&gt;0,(IF(B98&gt;(B76/1000),(B76/1000)-B40,B98-B40)),0)</f>
        <v>1.165</v>
      </c>
      <c r="E138" s="83">
        <f>IF(B98-B40&gt;0,(B76/1000)-D138-B40,(B76/1000)-B40)</f>
        <v>2.7755575615628914E-17</v>
      </c>
      <c r="F138" s="41">
        <f>B42*D138*G99</f>
        <v>251.64000000000004</v>
      </c>
      <c r="G138" s="41">
        <f>B42*E138*E99</f>
        <v>9.5923269327613531E-15</v>
      </c>
      <c r="H138" s="5">
        <f>ROUNDDOWN(F138+G138,2)</f>
        <v>251.64</v>
      </c>
      <c r="I138" s="41">
        <f>H138*2</f>
        <v>503.28</v>
      </c>
      <c r="J138" s="5"/>
      <c r="K138" s="53"/>
      <c r="AE138" s="54"/>
    </row>
    <row r="139" spans="1:31" s="6" customFormat="1" hidden="1" x14ac:dyDescent="0.25">
      <c r="A139" s="75" t="s">
        <v>207</v>
      </c>
      <c r="B139" s="76">
        <f>B135+B138</f>
        <v>110.77199999999993</v>
      </c>
      <c r="C139" s="5"/>
      <c r="D139" s="5"/>
      <c r="E139" s="5"/>
      <c r="F139" s="5"/>
      <c r="G139" s="5"/>
      <c r="H139" s="41">
        <f>SUM(H134:H138)</f>
        <v>348.84</v>
      </c>
      <c r="I139" s="84">
        <f>SUM(I134:I138)</f>
        <v>697.68</v>
      </c>
      <c r="J139" s="79" t="s">
        <v>189</v>
      </c>
      <c r="K139" s="53"/>
      <c r="AE139" s="54"/>
    </row>
    <row r="140" spans="1:31" s="6" customFormat="1" hidden="1" x14ac:dyDescent="0.25">
      <c r="B140" s="49"/>
      <c r="C140" s="5"/>
      <c r="D140" s="5"/>
      <c r="E140" s="5"/>
      <c r="F140" s="5"/>
      <c r="G140" s="5"/>
      <c r="H140" s="5"/>
      <c r="I140" s="84">
        <f>B63*I139</f>
        <v>627.91199999999992</v>
      </c>
      <c r="J140" s="79" t="s">
        <v>141</v>
      </c>
      <c r="K140" s="53"/>
      <c r="AE140" s="54"/>
    </row>
    <row r="141" spans="1:31" s="6" customFormat="1" hidden="1" x14ac:dyDescent="0.25">
      <c r="A141" s="78" t="s">
        <v>191</v>
      </c>
      <c r="B141" s="49" t="s">
        <v>194</v>
      </c>
      <c r="C141" s="85" t="s">
        <v>185</v>
      </c>
      <c r="D141" s="85"/>
      <c r="E141" s="85" t="s">
        <v>168</v>
      </c>
      <c r="F141" s="85"/>
      <c r="G141" s="85" t="s">
        <v>170</v>
      </c>
      <c r="H141" s="85" t="s">
        <v>186</v>
      </c>
      <c r="I141" s="86" t="s">
        <v>187</v>
      </c>
      <c r="J141" s="85"/>
      <c r="K141" s="53"/>
      <c r="AE141" s="54"/>
    </row>
    <row r="142" spans="1:31" s="6" customFormat="1" hidden="1" x14ac:dyDescent="0.25">
      <c r="A142" s="75" t="s">
        <v>206</v>
      </c>
      <c r="B142" s="87">
        <f>ROUNDDOWN(H116,0)</f>
        <v>6091</v>
      </c>
      <c r="C142" s="39" t="s">
        <v>75</v>
      </c>
      <c r="D142" s="5"/>
      <c r="E142" s="5"/>
      <c r="F142" s="41"/>
      <c r="G142" s="41">
        <f>E111*B42*E96</f>
        <v>47.52</v>
      </c>
      <c r="H142" s="41">
        <f t="shared" ref="H142:H145" si="2">F142+G142</f>
        <v>47.52</v>
      </c>
      <c r="I142" s="41">
        <f>H142*2</f>
        <v>95.04</v>
      </c>
      <c r="J142" s="5"/>
      <c r="K142" s="53"/>
      <c r="AE142" s="54"/>
    </row>
    <row r="143" spans="1:31" s="6" customFormat="1" hidden="1" x14ac:dyDescent="0.25">
      <c r="A143" s="75" t="s">
        <v>178</v>
      </c>
      <c r="B143" s="87">
        <f>B142+B131-B130</f>
        <v>463</v>
      </c>
      <c r="C143" s="39" t="s">
        <v>102</v>
      </c>
      <c r="D143" s="5"/>
      <c r="E143" s="5"/>
      <c r="F143" s="41"/>
      <c r="G143" s="41">
        <f>E112*B42*E97</f>
        <v>0</v>
      </c>
      <c r="H143" s="41">
        <f t="shared" si="2"/>
        <v>0</v>
      </c>
      <c r="I143" s="41">
        <f>H143*2</f>
        <v>0</v>
      </c>
      <c r="J143" s="5"/>
      <c r="K143" s="53"/>
      <c r="AE143" s="54"/>
    </row>
    <row r="144" spans="1:31" s="6" customFormat="1" hidden="1" x14ac:dyDescent="0.25">
      <c r="A144" s="75" t="s">
        <v>179</v>
      </c>
      <c r="B144" s="88">
        <f>B63*(B142+B131)-B64*B130</f>
        <v>-1394.0999999999995</v>
      </c>
      <c r="C144" s="39" t="s">
        <v>101</v>
      </c>
      <c r="D144" s="5"/>
      <c r="E144" s="5"/>
      <c r="F144" s="41"/>
      <c r="G144" s="41">
        <f>E113*B42*E98</f>
        <v>0</v>
      </c>
      <c r="H144" s="41">
        <f t="shared" si="2"/>
        <v>0</v>
      </c>
      <c r="I144" s="41">
        <f>H144*2</f>
        <v>0</v>
      </c>
      <c r="J144" s="5"/>
      <c r="K144" s="53"/>
      <c r="AE144" s="54"/>
    </row>
    <row r="145" spans="1:31" s="6" customFormat="1" hidden="1" x14ac:dyDescent="0.25">
      <c r="A145" s="75" t="s">
        <v>126</v>
      </c>
      <c r="B145" s="88">
        <f>IF(B144&lt;0,-B144,0)</f>
        <v>1394.0999999999995</v>
      </c>
      <c r="C145" s="39" t="s">
        <v>100</v>
      </c>
      <c r="D145" s="5"/>
      <c r="E145" s="5"/>
      <c r="F145" s="41"/>
      <c r="G145" s="41">
        <f>E114*B42*E99</f>
        <v>120.96000000000001</v>
      </c>
      <c r="H145" s="41">
        <f t="shared" si="2"/>
        <v>120.96000000000001</v>
      </c>
      <c r="I145" s="41">
        <f>H145*2</f>
        <v>241.92000000000002</v>
      </c>
      <c r="J145" s="5"/>
      <c r="K145" s="53"/>
      <c r="AE145" s="54"/>
    </row>
    <row r="146" spans="1:31" s="6" customFormat="1" hidden="1" x14ac:dyDescent="0.25">
      <c r="A146" s="75" t="s">
        <v>188</v>
      </c>
      <c r="B146" s="49">
        <f>IF(B145&gt;0,MAX(ROUNDUP(B145/I148,0),VLOOKUP('Sizes &amp; Dimensions'!B7,E2:N25,10,FALSE)),0)</f>
        <v>2</v>
      </c>
      <c r="C146" s="82" t="s">
        <v>192</v>
      </c>
      <c r="D146" s="5"/>
      <c r="E146" s="44">
        <f>(B76/1000)-B40</f>
        <v>1.165</v>
      </c>
      <c r="F146" s="41"/>
      <c r="G146" s="41">
        <f>E146*B42*E99</f>
        <v>402.62400000000002</v>
      </c>
      <c r="H146" s="5">
        <f>ROUNDDOWN(F146+G146,2)</f>
        <v>402.62</v>
      </c>
      <c r="I146" s="41">
        <f>H146*2</f>
        <v>805.24</v>
      </c>
      <c r="J146" s="5"/>
      <c r="K146" s="53"/>
      <c r="AE146" s="54"/>
    </row>
    <row r="147" spans="1:31" s="6" customFormat="1" hidden="1" x14ac:dyDescent="0.25">
      <c r="A147" s="75" t="s">
        <v>185</v>
      </c>
      <c r="B147" s="49">
        <f>B146*I148</f>
        <v>2055.96</v>
      </c>
      <c r="C147" s="5"/>
      <c r="D147" s="5"/>
      <c r="E147" s="5"/>
      <c r="F147" s="5"/>
      <c r="G147" s="5"/>
      <c r="H147" s="41"/>
      <c r="I147" s="89">
        <f>SUM(I142:I146)</f>
        <v>1142.2</v>
      </c>
      <c r="J147" s="85" t="s">
        <v>189</v>
      </c>
      <c r="K147" s="53"/>
      <c r="AE147" s="54"/>
    </row>
    <row r="148" spans="1:31" s="6" customFormat="1" hidden="1" x14ac:dyDescent="0.25">
      <c r="A148" s="75" t="s">
        <v>207</v>
      </c>
      <c r="B148" s="76">
        <f>B144+B147</f>
        <v>661.86000000000058</v>
      </c>
      <c r="C148" s="5"/>
      <c r="D148" s="5"/>
      <c r="E148" s="5"/>
      <c r="F148" s="5"/>
      <c r="G148" s="5"/>
      <c r="H148" s="41"/>
      <c r="I148" s="89">
        <f>B63*I147</f>
        <v>1027.98</v>
      </c>
      <c r="J148" s="85" t="s">
        <v>141</v>
      </c>
      <c r="K148" s="53"/>
      <c r="AE148" s="54"/>
    </row>
    <row r="149" spans="1:31" s="6" customFormat="1" hidden="1" x14ac:dyDescent="0.25">
      <c r="B149" s="49"/>
      <c r="C149" s="5"/>
      <c r="D149" s="5"/>
      <c r="E149" s="5"/>
      <c r="F149" s="5"/>
      <c r="G149" s="5"/>
      <c r="H149" s="5"/>
      <c r="I149" s="5"/>
      <c r="J149" s="5"/>
      <c r="K149" s="53"/>
      <c r="AE149" s="54"/>
    </row>
    <row r="150" spans="1:31" s="6" customFormat="1" hidden="1" x14ac:dyDescent="0.25">
      <c r="A150" s="75" t="s">
        <v>256</v>
      </c>
      <c r="B150" s="49"/>
      <c r="C150" s="5"/>
      <c r="D150" s="5"/>
      <c r="E150" s="5"/>
      <c r="F150" s="5"/>
      <c r="G150" s="5"/>
      <c r="H150" s="5"/>
      <c r="I150" s="5"/>
      <c r="J150" s="5"/>
      <c r="K150" s="53"/>
      <c r="AE150" s="54"/>
    </row>
    <row r="151" spans="1:31" s="6" customFormat="1" hidden="1" x14ac:dyDescent="0.25">
      <c r="A151" s="75" t="s">
        <v>253</v>
      </c>
      <c r="B151" s="49">
        <v>200</v>
      </c>
      <c r="C151" s="5">
        <f t="shared" ref="C151:C153" si="3">B151/1000</f>
        <v>0.2</v>
      </c>
      <c r="D151" s="5"/>
      <c r="E151" s="5"/>
      <c r="F151" s="5"/>
      <c r="G151" s="5"/>
      <c r="H151" s="5"/>
      <c r="I151" s="5"/>
      <c r="J151" s="5"/>
      <c r="K151" s="53"/>
      <c r="AE151" s="54"/>
    </row>
    <row r="152" spans="1:31" s="6" customFormat="1" hidden="1" x14ac:dyDescent="0.25">
      <c r="A152" s="75" t="s">
        <v>259</v>
      </c>
      <c r="B152" s="49">
        <f>500+200+200+500</f>
        <v>1400</v>
      </c>
      <c r="C152" s="5">
        <f t="shared" si="3"/>
        <v>1.4</v>
      </c>
      <c r="D152" s="5"/>
      <c r="E152" s="5"/>
      <c r="F152" s="5"/>
      <c r="G152" s="5"/>
      <c r="H152" s="5"/>
      <c r="I152" s="5"/>
      <c r="J152" s="5"/>
      <c r="K152" s="53"/>
      <c r="AE152" s="54"/>
    </row>
    <row r="153" spans="1:31" s="6" customFormat="1" hidden="1" x14ac:dyDescent="0.25">
      <c r="A153" s="75" t="s">
        <v>254</v>
      </c>
      <c r="B153" s="49">
        <f>500+200+200+500</f>
        <v>1400</v>
      </c>
      <c r="C153" s="5">
        <f t="shared" si="3"/>
        <v>1.4</v>
      </c>
      <c r="D153" s="5"/>
      <c r="E153" s="5"/>
      <c r="F153" s="5"/>
      <c r="G153" s="5"/>
      <c r="H153" s="5"/>
      <c r="I153" s="5"/>
      <c r="J153" s="5"/>
      <c r="K153" s="53"/>
      <c r="AE153" s="54"/>
    </row>
    <row r="154" spans="1:31" s="6" customFormat="1" hidden="1" x14ac:dyDescent="0.25">
      <c r="B154" s="49"/>
      <c r="C154" s="5"/>
      <c r="D154" s="5"/>
      <c r="E154" s="5"/>
      <c r="F154" s="5"/>
      <c r="G154" s="5"/>
      <c r="H154" s="5"/>
      <c r="I154" s="5"/>
      <c r="J154" s="5"/>
      <c r="K154" s="53"/>
      <c r="AE154" s="54"/>
    </row>
    <row r="155" spans="1:31" s="6" customFormat="1" hidden="1" x14ac:dyDescent="0.25">
      <c r="A155" s="75" t="s">
        <v>257</v>
      </c>
      <c r="B155" s="49"/>
      <c r="C155" s="5"/>
      <c r="D155" s="5"/>
      <c r="E155" s="5"/>
      <c r="F155" s="5"/>
      <c r="G155" s="5"/>
      <c r="H155" s="5"/>
      <c r="I155" s="5"/>
      <c r="J155" s="5"/>
      <c r="K155" s="53"/>
      <c r="AE155" s="54"/>
    </row>
    <row r="156" spans="1:31" s="6" customFormat="1" hidden="1" x14ac:dyDescent="0.25">
      <c r="A156" s="75" t="s">
        <v>253</v>
      </c>
      <c r="B156" s="49">
        <v>250</v>
      </c>
      <c r="C156" s="5">
        <f>B156/1000</f>
        <v>0.25</v>
      </c>
      <c r="D156" s="5"/>
      <c r="E156" s="5"/>
      <c r="F156" s="5"/>
      <c r="G156" s="5"/>
      <c r="H156" s="5"/>
      <c r="I156" s="5"/>
      <c r="J156" s="5"/>
      <c r="K156" s="53"/>
      <c r="AE156" s="54"/>
    </row>
    <row r="157" spans="1:31" s="6" customFormat="1" hidden="1" x14ac:dyDescent="0.25">
      <c r="A157" s="75" t="s">
        <v>260</v>
      </c>
      <c r="B157" s="49">
        <f>600+200+200+600</f>
        <v>1600</v>
      </c>
      <c r="C157" s="5">
        <f>B157/1000</f>
        <v>1.6</v>
      </c>
      <c r="D157" s="5"/>
      <c r="E157" s="5"/>
      <c r="F157" s="5"/>
      <c r="G157" s="5"/>
      <c r="H157" s="5"/>
      <c r="I157" s="5"/>
      <c r="J157" s="5"/>
      <c r="K157" s="53"/>
      <c r="AE157" s="54"/>
    </row>
    <row r="158" spans="1:31" s="6" customFormat="1" hidden="1" x14ac:dyDescent="0.25">
      <c r="A158" s="75" t="s">
        <v>254</v>
      </c>
      <c r="B158" s="49">
        <f>600+200+200+600</f>
        <v>1600</v>
      </c>
      <c r="C158" s="5">
        <f>B158/1000</f>
        <v>1.6</v>
      </c>
      <c r="D158" s="5"/>
      <c r="E158" s="5"/>
      <c r="F158" s="5"/>
      <c r="G158" s="5"/>
      <c r="H158" s="5"/>
      <c r="I158" s="5"/>
      <c r="J158" s="5"/>
      <c r="K158" s="53"/>
      <c r="AE158" s="54"/>
    </row>
    <row r="159" spans="1:31" s="6" customFormat="1" hidden="1" x14ac:dyDescent="0.25">
      <c r="B159" s="49"/>
      <c r="C159" s="5"/>
      <c r="D159" s="5"/>
      <c r="E159" s="5"/>
      <c r="F159" s="5"/>
      <c r="G159" s="5"/>
      <c r="H159" s="5"/>
      <c r="I159" s="5"/>
      <c r="J159" s="5"/>
      <c r="K159" s="53"/>
      <c r="AE159" s="54"/>
    </row>
    <row r="160" spans="1:31" s="6" customFormat="1" hidden="1" x14ac:dyDescent="0.25">
      <c r="A160" s="75" t="s">
        <v>255</v>
      </c>
      <c r="B160" s="49"/>
      <c r="C160" s="5"/>
      <c r="D160" s="5"/>
      <c r="E160" s="5"/>
      <c r="F160" s="5"/>
      <c r="G160" s="5"/>
      <c r="H160" s="5"/>
      <c r="I160" s="5"/>
      <c r="J160" s="5"/>
      <c r="K160" s="53"/>
      <c r="AE160" s="54"/>
    </row>
    <row r="161" spans="1:31" s="6" customFormat="1" hidden="1" x14ac:dyDescent="0.25">
      <c r="A161" s="75" t="s">
        <v>261</v>
      </c>
      <c r="B161" s="49"/>
      <c r="C161" s="5"/>
      <c r="D161" s="5"/>
      <c r="E161" s="5"/>
      <c r="F161" s="5"/>
      <c r="G161" s="5"/>
      <c r="H161" s="5"/>
      <c r="I161" s="5"/>
      <c r="J161" s="5"/>
      <c r="K161" s="53"/>
      <c r="AE161" s="54"/>
    </row>
    <row r="162" spans="1:31" s="6" customFormat="1" hidden="1" x14ac:dyDescent="0.25">
      <c r="A162" s="75" t="s">
        <v>262</v>
      </c>
      <c r="B162" s="49"/>
      <c r="C162" s="5"/>
      <c r="D162" s="5"/>
      <c r="E162" s="5"/>
      <c r="F162" s="5"/>
      <c r="G162" s="5"/>
      <c r="H162" s="5"/>
      <c r="I162" s="5"/>
      <c r="J162" s="5"/>
      <c r="K162" s="53"/>
      <c r="AE162" s="54"/>
    </row>
    <row r="163" spans="1:31" s="6" customFormat="1" hidden="1" x14ac:dyDescent="0.25">
      <c r="A163" s="75" t="s">
        <v>258</v>
      </c>
      <c r="B163" s="49"/>
      <c r="C163" s="5"/>
      <c r="D163" s="5"/>
      <c r="E163" s="5"/>
      <c r="F163" s="5"/>
      <c r="G163" s="5"/>
      <c r="H163" s="5"/>
      <c r="I163" s="5"/>
      <c r="J163" s="5"/>
      <c r="K163" s="53"/>
      <c r="AE163" s="54"/>
    </row>
    <row r="164" spans="1:31" s="6" customFormat="1" hidden="1" x14ac:dyDescent="0.25">
      <c r="B164" s="49"/>
      <c r="C164" s="5"/>
      <c r="D164" s="5"/>
      <c r="E164" s="5"/>
      <c r="F164" s="5"/>
      <c r="G164" s="5"/>
      <c r="H164" s="5"/>
      <c r="I164" s="5"/>
      <c r="J164" s="5"/>
      <c r="K164" s="53"/>
      <c r="AE164" s="54"/>
    </row>
    <row r="165" spans="1:31" s="6" customFormat="1" hidden="1" x14ac:dyDescent="0.25">
      <c r="A165" s="75" t="s">
        <v>263</v>
      </c>
      <c r="B165" s="49"/>
      <c r="C165" s="5"/>
      <c r="D165" s="5"/>
      <c r="E165" s="5"/>
      <c r="F165" s="5"/>
      <c r="G165" s="5"/>
      <c r="H165" s="5"/>
      <c r="I165" s="5"/>
      <c r="J165" s="5"/>
      <c r="K165" s="53"/>
      <c r="AE165" s="54"/>
    </row>
    <row r="166" spans="1:31" s="6" customFormat="1" ht="15.75" hidden="1" thickBot="1" x14ac:dyDescent="0.3">
      <c r="B166" s="49"/>
      <c r="C166" s="5"/>
      <c r="D166" s="5"/>
      <c r="E166" s="5"/>
      <c r="F166" s="5"/>
      <c r="G166" s="5"/>
      <c r="H166" s="5"/>
      <c r="I166" s="5"/>
      <c r="J166" s="5"/>
      <c r="K166" s="53"/>
      <c r="AE166" s="54"/>
    </row>
    <row r="167" spans="1:31" s="6" customFormat="1" ht="21.75" hidden="1" thickTop="1" thickBot="1" x14ac:dyDescent="0.3">
      <c r="A167" s="90"/>
      <c r="B167" s="91" t="s">
        <v>265</v>
      </c>
      <c r="C167" s="79"/>
      <c r="D167" s="5"/>
      <c r="E167" s="92" t="s">
        <v>267</v>
      </c>
      <c r="F167" s="5"/>
      <c r="G167" s="92" t="s">
        <v>271</v>
      </c>
      <c r="H167" s="5"/>
      <c r="I167" s="5"/>
      <c r="J167" s="5"/>
      <c r="K167" s="53"/>
      <c r="AE167" s="54"/>
    </row>
    <row r="168" spans="1:31" s="6" customFormat="1" ht="21" hidden="1" thickTop="1" x14ac:dyDescent="0.25">
      <c r="A168" s="90"/>
      <c r="B168" s="79" t="s">
        <v>264</v>
      </c>
      <c r="C168" s="79"/>
      <c r="D168" s="5"/>
      <c r="E168" s="92" t="s">
        <v>266</v>
      </c>
      <c r="F168" s="5"/>
      <c r="G168" s="92" t="s">
        <v>270</v>
      </c>
      <c r="H168" s="5"/>
      <c r="I168" s="5"/>
      <c r="J168" s="5"/>
      <c r="K168" s="53"/>
      <c r="AE168" s="54"/>
    </row>
    <row r="169" spans="1:31" s="6" customFormat="1" hidden="1" x14ac:dyDescent="0.25">
      <c r="A169" s="90"/>
      <c r="B169" s="93"/>
      <c r="C169" s="79"/>
      <c r="D169" s="5"/>
      <c r="E169" s="5"/>
      <c r="F169" s="5"/>
      <c r="G169" s="5"/>
      <c r="H169" s="5"/>
      <c r="I169" s="5"/>
      <c r="J169" s="5"/>
      <c r="K169" s="53"/>
      <c r="AE169" s="54"/>
    </row>
    <row r="170" spans="1:31" s="6" customFormat="1" ht="20.25" hidden="1" x14ac:dyDescent="0.25">
      <c r="B170" s="49"/>
      <c r="C170" s="5"/>
      <c r="D170" s="5"/>
      <c r="E170" s="92" t="s">
        <v>268</v>
      </c>
      <c r="F170" s="5"/>
      <c r="G170" s="92" t="s">
        <v>269</v>
      </c>
      <c r="H170" s="5"/>
      <c r="I170" s="5"/>
      <c r="J170" s="5"/>
      <c r="K170" s="53"/>
      <c r="AE170" s="54"/>
    </row>
    <row r="171" spans="1:31" s="6" customFormat="1" ht="18.75" hidden="1" x14ac:dyDescent="0.3">
      <c r="B171" s="94" t="s">
        <v>272</v>
      </c>
      <c r="C171" s="5"/>
      <c r="D171" s="5"/>
      <c r="E171" s="5"/>
      <c r="F171" s="5"/>
      <c r="G171" s="5"/>
      <c r="H171" s="5"/>
      <c r="I171" s="5"/>
      <c r="J171" s="5"/>
      <c r="K171" s="53"/>
      <c r="AE171" s="54"/>
    </row>
    <row r="172" spans="1:31" s="6" customFormat="1" hidden="1" x14ac:dyDescent="0.25">
      <c r="B172" s="49"/>
      <c r="C172" s="5"/>
      <c r="D172" s="5"/>
      <c r="E172" s="5"/>
      <c r="F172" s="5"/>
      <c r="G172" s="5"/>
      <c r="H172" s="5"/>
      <c r="I172" s="5"/>
      <c r="J172" s="5"/>
      <c r="K172" s="53"/>
      <c r="AE172" s="54"/>
    </row>
    <row r="173" spans="1:31" s="6" customFormat="1" hidden="1" x14ac:dyDescent="0.25">
      <c r="A173" s="6" t="s">
        <v>147</v>
      </c>
      <c r="B173" s="49"/>
      <c r="C173" s="5"/>
      <c r="D173" s="5"/>
      <c r="E173" s="5"/>
      <c r="F173" s="5"/>
      <c r="G173" s="5"/>
      <c r="H173" s="5"/>
      <c r="I173" s="5"/>
      <c r="J173" s="5"/>
      <c r="K173" s="53"/>
      <c r="AE173" s="54"/>
    </row>
    <row r="174" spans="1:31" s="6" customFormat="1" hidden="1" x14ac:dyDescent="0.25">
      <c r="A174" s="6" t="s">
        <v>82</v>
      </c>
      <c r="B174" s="49" t="s">
        <v>83</v>
      </c>
      <c r="C174" s="5"/>
      <c r="D174" s="5"/>
      <c r="E174" s="5"/>
      <c r="F174" s="5"/>
      <c r="G174" s="5"/>
      <c r="H174" s="5"/>
      <c r="I174" s="5"/>
      <c r="J174" s="5"/>
      <c r="K174" s="53"/>
      <c r="AE174" s="54"/>
    </row>
    <row r="175" spans="1:31" s="6" customFormat="1" hidden="1" x14ac:dyDescent="0.25">
      <c r="A175" s="6" t="s">
        <v>85</v>
      </c>
      <c r="B175" s="49">
        <v>9.8000000000000007</v>
      </c>
      <c r="C175" s="5"/>
      <c r="D175" s="5"/>
      <c r="E175" s="5"/>
      <c r="F175" s="5"/>
      <c r="G175" s="5"/>
      <c r="H175" s="5"/>
      <c r="I175" s="5"/>
      <c r="J175" s="5"/>
      <c r="K175" s="53"/>
      <c r="AE175" s="54"/>
    </row>
    <row r="176" spans="1:31" s="6" customFormat="1" hidden="1" x14ac:dyDescent="0.25">
      <c r="A176" s="6" t="s">
        <v>84</v>
      </c>
      <c r="B176" s="49">
        <f>144*B175</f>
        <v>1411.2</v>
      </c>
      <c r="C176" s="5"/>
      <c r="D176" s="5"/>
      <c r="E176" s="5"/>
      <c r="F176" s="5"/>
      <c r="G176" s="5"/>
      <c r="H176" s="5"/>
      <c r="I176" s="5"/>
      <c r="J176" s="5"/>
      <c r="K176" s="53"/>
      <c r="AE176" s="54"/>
    </row>
    <row r="177" spans="1:31" s="6" customFormat="1" hidden="1" x14ac:dyDescent="0.25">
      <c r="A177" s="6" t="s">
        <v>86</v>
      </c>
      <c r="B177" s="49" t="s">
        <v>87</v>
      </c>
      <c r="C177" s="5"/>
      <c r="D177" s="5"/>
      <c r="E177" s="5"/>
      <c r="F177" s="5"/>
      <c r="G177" s="5"/>
      <c r="H177" s="5"/>
      <c r="I177" s="5"/>
      <c r="J177" s="5"/>
      <c r="K177" s="53"/>
      <c r="AE177" s="54"/>
    </row>
    <row r="178" spans="1:31" s="6" customFormat="1" hidden="1" x14ac:dyDescent="0.25">
      <c r="A178" s="6" t="s">
        <v>88</v>
      </c>
      <c r="B178" s="49">
        <v>12.96</v>
      </c>
      <c r="C178" s="5"/>
      <c r="D178" s="5"/>
      <c r="E178" s="5"/>
      <c r="F178" s="5"/>
      <c r="G178" s="5"/>
      <c r="H178" s="5"/>
      <c r="I178" s="5"/>
      <c r="J178" s="5"/>
      <c r="K178" s="53"/>
      <c r="AE178" s="54"/>
    </row>
    <row r="179" spans="1:31" s="6" customFormat="1" hidden="1" x14ac:dyDescent="0.25">
      <c r="A179" s="6" t="s">
        <v>89</v>
      </c>
      <c r="B179" s="49">
        <f>ROUNDDOWN(B176 / (B178*0.05),0)</f>
        <v>2177</v>
      </c>
      <c r="C179" s="5"/>
      <c r="D179" s="5"/>
      <c r="E179" s="5"/>
      <c r="F179" s="5"/>
      <c r="G179" s="5"/>
      <c r="H179" s="5"/>
      <c r="I179" s="5"/>
      <c r="J179" s="5"/>
      <c r="K179" s="53"/>
      <c r="AE179" s="54"/>
    </row>
    <row r="180" spans="1:31" s="6" customFormat="1" hidden="1" x14ac:dyDescent="0.25">
      <c r="C180" s="5"/>
      <c r="D180" s="5"/>
      <c r="E180" s="5"/>
      <c r="F180" s="5"/>
      <c r="G180" s="5"/>
      <c r="H180" s="5"/>
      <c r="I180" s="5"/>
      <c r="J180" s="5"/>
      <c r="K180" s="53"/>
      <c r="AE180" s="54"/>
    </row>
    <row r="181" spans="1:31" s="6" customFormat="1" hidden="1" x14ac:dyDescent="0.25">
      <c r="C181" s="5"/>
      <c r="D181" s="5"/>
      <c r="E181" s="5"/>
      <c r="F181" s="5"/>
      <c r="G181" s="5"/>
      <c r="H181" s="5"/>
      <c r="I181" s="5"/>
      <c r="J181" s="5"/>
      <c r="K181" s="53"/>
      <c r="AE181" s="54"/>
    </row>
    <row r="182" spans="1:31" s="6" customFormat="1" hidden="1" x14ac:dyDescent="0.25">
      <c r="C182" s="5"/>
      <c r="D182" s="5"/>
      <c r="E182" s="5"/>
      <c r="F182" s="5"/>
      <c r="G182" s="5"/>
      <c r="H182" s="5"/>
      <c r="I182" s="5"/>
      <c r="J182" s="5"/>
      <c r="K182" s="53"/>
      <c r="AE182" s="54"/>
    </row>
    <row r="183" spans="1:31" s="6" customFormat="1" hidden="1" x14ac:dyDescent="0.25">
      <c r="C183" s="5"/>
      <c r="D183" s="5"/>
      <c r="E183" s="5"/>
      <c r="F183" s="5"/>
      <c r="G183" s="5"/>
      <c r="H183" s="5"/>
      <c r="I183" s="5"/>
      <c r="J183" s="5"/>
      <c r="K183" s="53"/>
      <c r="AE183" s="54"/>
    </row>
    <row r="184" spans="1:31" s="6" customFormat="1" hidden="1" x14ac:dyDescent="0.25">
      <c r="A184" s="6" t="s">
        <v>90</v>
      </c>
      <c r="B184" s="6" t="s">
        <v>91</v>
      </c>
      <c r="C184" s="5"/>
      <c r="D184" s="5"/>
      <c r="E184" s="5"/>
      <c r="F184" s="5"/>
      <c r="G184" s="5"/>
      <c r="H184" s="5"/>
      <c r="I184" s="5"/>
      <c r="J184" s="5"/>
      <c r="K184" s="53"/>
      <c r="AE184" s="54"/>
    </row>
    <row r="185" spans="1:31" s="6" customFormat="1" hidden="1" x14ac:dyDescent="0.25">
      <c r="A185" s="6" t="s">
        <v>85</v>
      </c>
      <c r="B185" s="49">
        <v>18.36</v>
      </c>
      <c r="C185" s="5"/>
      <c r="D185" s="5"/>
      <c r="E185" s="5"/>
      <c r="F185" s="5"/>
      <c r="G185" s="5"/>
      <c r="H185" s="5"/>
      <c r="I185" s="5"/>
      <c r="J185" s="5"/>
      <c r="K185" s="53"/>
      <c r="AE185" s="54"/>
    </row>
    <row r="186" spans="1:31" s="6" customFormat="1" hidden="1" x14ac:dyDescent="0.25">
      <c r="A186" s="6" t="s">
        <v>92</v>
      </c>
      <c r="B186" s="49">
        <v>1212</v>
      </c>
      <c r="C186" s="5"/>
      <c r="D186" s="5"/>
      <c r="E186" s="5"/>
      <c r="F186" s="5"/>
      <c r="G186" s="5"/>
      <c r="H186" s="5"/>
      <c r="I186" s="5"/>
      <c r="J186" s="5"/>
      <c r="K186" s="53"/>
      <c r="AE186" s="54"/>
    </row>
    <row r="187" spans="1:31" s="6" customFormat="1" hidden="1" x14ac:dyDescent="0.25">
      <c r="A187" s="6" t="s">
        <v>86</v>
      </c>
      <c r="B187" s="49" t="s">
        <v>93</v>
      </c>
      <c r="C187" s="5"/>
      <c r="D187" s="5"/>
      <c r="E187" s="5"/>
      <c r="F187" s="5"/>
      <c r="G187" s="5"/>
      <c r="H187" s="5"/>
      <c r="I187" s="5"/>
      <c r="J187" s="5"/>
      <c r="K187" s="53"/>
      <c r="AE187" s="54"/>
    </row>
    <row r="188" spans="1:31" s="6" customFormat="1" hidden="1" x14ac:dyDescent="0.25">
      <c r="A188" s="6" t="s">
        <v>94</v>
      </c>
      <c r="B188" s="49">
        <v>10.56</v>
      </c>
      <c r="C188" s="5"/>
      <c r="D188" s="5"/>
      <c r="E188" s="5"/>
      <c r="F188" s="5"/>
      <c r="G188" s="5"/>
      <c r="H188" s="5"/>
      <c r="I188" s="5"/>
      <c r="J188" s="5"/>
      <c r="K188" s="53"/>
      <c r="AE188" s="54"/>
    </row>
    <row r="189" spans="1:31" s="6" customFormat="1" hidden="1" x14ac:dyDescent="0.25">
      <c r="A189" s="6" t="s">
        <v>89</v>
      </c>
      <c r="B189" s="49">
        <f>ROUNDDOWN(B186 / (B188*0.08),0)</f>
        <v>1434</v>
      </c>
      <c r="C189" s="5"/>
      <c r="D189" s="5"/>
      <c r="E189" s="5"/>
      <c r="F189" s="5"/>
      <c r="G189" s="5"/>
      <c r="H189" s="5"/>
      <c r="I189" s="5"/>
      <c r="J189" s="5"/>
      <c r="K189" s="53"/>
      <c r="AE189" s="54"/>
    </row>
    <row r="190" spans="1:31" s="6" customFormat="1" hidden="1" x14ac:dyDescent="0.25">
      <c r="C190" s="5"/>
      <c r="D190" s="5"/>
      <c r="E190" s="5"/>
      <c r="F190" s="5"/>
      <c r="G190" s="5"/>
      <c r="H190" s="5"/>
      <c r="I190" s="5"/>
      <c r="J190" s="5"/>
      <c r="K190" s="53"/>
      <c r="AE190" s="54"/>
    </row>
    <row r="191" spans="1:31" s="6" customFormat="1" hidden="1" x14ac:dyDescent="0.25">
      <c r="C191" s="5"/>
      <c r="D191" s="5"/>
      <c r="E191" s="5"/>
      <c r="F191" s="5"/>
      <c r="G191" s="5"/>
      <c r="H191" s="5"/>
      <c r="I191" s="5"/>
      <c r="J191" s="5"/>
      <c r="K191" s="53"/>
      <c r="AE191" s="54"/>
    </row>
    <row r="192" spans="1:31" s="6" customFormat="1" hidden="1" x14ac:dyDescent="0.25">
      <c r="C192" s="5"/>
      <c r="D192" s="5"/>
      <c r="E192" s="5"/>
      <c r="F192" s="5"/>
      <c r="G192" s="5"/>
      <c r="H192" s="5"/>
      <c r="I192" s="5"/>
      <c r="J192" s="5"/>
      <c r="K192" s="53"/>
      <c r="AE192" s="54"/>
    </row>
    <row r="193" spans="1:31" s="6" customFormat="1" hidden="1" x14ac:dyDescent="0.25">
      <c r="C193" s="5"/>
      <c r="D193" s="5"/>
      <c r="E193" s="5"/>
      <c r="F193" s="5"/>
      <c r="G193" s="5"/>
      <c r="H193" s="5"/>
      <c r="I193" s="5"/>
      <c r="J193" s="5"/>
      <c r="K193" s="53"/>
      <c r="AE193" s="54"/>
    </row>
    <row r="194" spans="1:31" s="6" customFormat="1" hidden="1" x14ac:dyDescent="0.25">
      <c r="A194" s="6" t="s">
        <v>96</v>
      </c>
      <c r="B194" s="6" t="s">
        <v>95</v>
      </c>
      <c r="C194" s="5"/>
      <c r="D194" s="5"/>
      <c r="E194" s="5"/>
      <c r="F194" s="5"/>
      <c r="G194" s="5"/>
      <c r="H194" s="5"/>
      <c r="I194" s="5"/>
      <c r="J194" s="5"/>
      <c r="K194" s="53"/>
      <c r="AE194" s="54"/>
    </row>
    <row r="195" spans="1:31" s="6" customFormat="1" hidden="1" x14ac:dyDescent="0.25">
      <c r="A195" s="6" t="s">
        <v>85</v>
      </c>
      <c r="B195" s="49">
        <v>7.5</v>
      </c>
      <c r="C195" s="5"/>
      <c r="D195" s="5"/>
      <c r="E195" s="5"/>
      <c r="F195" s="5"/>
      <c r="G195" s="5"/>
      <c r="H195" s="5"/>
      <c r="I195" s="5"/>
      <c r="J195" s="5"/>
      <c r="K195" s="53"/>
      <c r="AE195" s="54"/>
    </row>
    <row r="196" spans="1:31" s="6" customFormat="1" hidden="1" x14ac:dyDescent="0.25">
      <c r="A196" s="6" t="s">
        <v>97</v>
      </c>
      <c r="B196" s="49">
        <v>1350</v>
      </c>
      <c r="C196" s="5"/>
      <c r="D196" s="5"/>
      <c r="E196" s="5"/>
      <c r="F196" s="5"/>
      <c r="G196" s="5"/>
      <c r="H196" s="5"/>
      <c r="I196" s="5"/>
      <c r="J196" s="5"/>
      <c r="K196" s="53"/>
      <c r="AE196" s="54"/>
    </row>
    <row r="197" spans="1:31" s="6" customFormat="1" hidden="1" x14ac:dyDescent="0.25">
      <c r="A197" s="6" t="s">
        <v>86</v>
      </c>
      <c r="B197" s="49" t="s">
        <v>98</v>
      </c>
      <c r="C197" s="5"/>
      <c r="D197" s="5"/>
      <c r="E197" s="5"/>
      <c r="F197" s="5"/>
      <c r="G197" s="5"/>
      <c r="H197" s="5"/>
      <c r="I197" s="5"/>
      <c r="J197" s="5"/>
      <c r="K197" s="53"/>
      <c r="AE197" s="54"/>
    </row>
    <row r="198" spans="1:31" s="6" customFormat="1" hidden="1" x14ac:dyDescent="0.25">
      <c r="A198" s="6" t="s">
        <v>99</v>
      </c>
      <c r="B198" s="49">
        <v>14.4</v>
      </c>
      <c r="C198" s="5"/>
      <c r="D198" s="5"/>
      <c r="E198" s="5"/>
      <c r="F198" s="5"/>
      <c r="G198" s="5"/>
      <c r="H198" s="5"/>
      <c r="I198" s="5"/>
      <c r="J198" s="5"/>
      <c r="K198" s="53"/>
      <c r="AE198" s="54"/>
    </row>
    <row r="199" spans="1:31" s="6" customFormat="1" hidden="1" x14ac:dyDescent="0.25">
      <c r="A199" s="6" t="s">
        <v>89</v>
      </c>
      <c r="B199" s="49">
        <f>ROUNDDOWN(B196 / (B198*0.05),0)</f>
        <v>1875</v>
      </c>
      <c r="C199" s="5"/>
      <c r="D199" s="5"/>
      <c r="E199" s="5"/>
      <c r="F199" s="5"/>
      <c r="G199" s="5"/>
      <c r="H199" s="5"/>
      <c r="I199" s="5"/>
      <c r="J199" s="5"/>
      <c r="K199" s="53"/>
      <c r="AE199" s="54"/>
    </row>
    <row r="200" spans="1:31" s="6" customFormat="1" hidden="1" x14ac:dyDescent="0.25">
      <c r="C200" s="5"/>
      <c r="D200" s="5"/>
      <c r="E200" s="5"/>
      <c r="F200" s="5"/>
      <c r="G200" s="5"/>
      <c r="H200" s="5"/>
      <c r="I200" s="5"/>
      <c r="J200" s="5"/>
      <c r="K200" s="53"/>
      <c r="AE200" s="54"/>
    </row>
    <row r="201" spans="1:31" s="6" customFormat="1" hidden="1" x14ac:dyDescent="0.25">
      <c r="C201" s="5"/>
      <c r="D201" s="5"/>
      <c r="E201" s="5"/>
      <c r="F201" s="5"/>
      <c r="G201" s="5"/>
      <c r="H201" s="5"/>
      <c r="I201" s="5"/>
      <c r="J201" s="5"/>
      <c r="K201" s="53"/>
      <c r="AE201" s="54"/>
    </row>
    <row r="202" spans="1:31" s="6" customFormat="1" hidden="1" x14ac:dyDescent="0.25">
      <c r="C202" s="5"/>
      <c r="D202" s="5"/>
      <c r="E202" s="5"/>
      <c r="F202" s="5"/>
      <c r="G202" s="5"/>
      <c r="H202" s="5"/>
      <c r="I202" s="5"/>
      <c r="J202" s="5"/>
      <c r="K202" s="53"/>
      <c r="AE202" s="54"/>
    </row>
  </sheetData>
  <sheetProtection algorithmName="SHA-512" hashValue="QO4GgMk4NCe+5YaWAzu6rCog3MQY33HwCNn0lsSRMxUprIb9HS2tH9uof3u6sepPNNMAbD2gokLrfI7tFV7YWw==" saltValue="j+s0SZpXs3OeF/VHZbp3Q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895D8-2D44-41C5-912E-CC80A4623CB4}">
  <dimension ref="A1:I32"/>
  <sheetViews>
    <sheetView zoomScale="70" zoomScaleNormal="70" workbookViewId="0"/>
  </sheetViews>
  <sheetFormatPr defaultColWidth="56.5703125" defaultRowHeight="21" x14ac:dyDescent="0.35"/>
  <cols>
    <col min="1" max="1" width="10.28515625" style="125" customWidth="1"/>
    <col min="2" max="6" width="56.5703125" style="125"/>
    <col min="7" max="9" width="56.5703125" style="126"/>
    <col min="10" max="16384" width="56.5703125" style="125"/>
  </cols>
  <sheetData>
    <row r="1" spans="1:9" s="114" customFormat="1" ht="20.100000000000001" customHeight="1" x14ac:dyDescent="0.35">
      <c r="A1" s="127" t="s">
        <v>21</v>
      </c>
      <c r="C1" s="115" t="s">
        <v>280</v>
      </c>
      <c r="G1" s="115"/>
      <c r="H1" s="115"/>
      <c r="I1" s="115"/>
    </row>
    <row r="2" spans="1:9" s="114" customFormat="1" ht="20.100000000000001" customHeight="1" thickBot="1" x14ac:dyDescent="0.4">
      <c r="G2" s="115"/>
      <c r="H2" s="115"/>
      <c r="I2" s="115"/>
    </row>
    <row r="3" spans="1:9" s="114" customFormat="1" ht="20.100000000000001" customHeight="1" thickBot="1" x14ac:dyDescent="0.4">
      <c r="B3" s="116" t="s">
        <v>76</v>
      </c>
      <c r="C3" s="116" t="s">
        <v>244</v>
      </c>
      <c r="D3" s="116" t="s">
        <v>245</v>
      </c>
      <c r="E3" s="117" t="s">
        <v>370</v>
      </c>
    </row>
    <row r="4" spans="1:9" s="114" customFormat="1" ht="20.100000000000001" customHeight="1" thickBot="1" x14ac:dyDescent="0.4">
      <c r="B4" s="116"/>
      <c r="C4" s="116"/>
      <c r="D4" s="116"/>
      <c r="E4" s="117"/>
    </row>
    <row r="5" spans="1:9" s="114" customFormat="1" ht="20.100000000000001" customHeight="1" thickBot="1" x14ac:dyDescent="0.4">
      <c r="B5" s="118">
        <v>0.15</v>
      </c>
      <c r="C5" s="118">
        <f>1+B5+1.2+0.3+0.1</f>
        <v>2.7499999999999996</v>
      </c>
      <c r="D5" s="118">
        <f>1+B5+1.2+0.1</f>
        <v>2.4499999999999997</v>
      </c>
      <c r="E5" s="116" t="s">
        <v>279</v>
      </c>
    </row>
    <row r="6" spans="1:9" s="114" customFormat="1" ht="20.100000000000001" customHeight="1" thickBot="1" x14ac:dyDescent="0.4">
      <c r="B6" s="118">
        <v>0.2</v>
      </c>
      <c r="C6" s="118">
        <f t="shared" ref="C6:C18" si="0">1+B6+1.2+0.3+0.1</f>
        <v>2.8</v>
      </c>
      <c r="D6" s="118">
        <f t="shared" ref="D6:D18" si="1">1+B6+1.2+0.1</f>
        <v>2.5</v>
      </c>
      <c r="E6" s="116" t="s">
        <v>279</v>
      </c>
    </row>
    <row r="7" spans="1:9" s="114" customFormat="1" ht="20.100000000000001" customHeight="1" thickBot="1" x14ac:dyDescent="0.4">
      <c r="B7" s="118">
        <v>0.25</v>
      </c>
      <c r="C7" s="118">
        <f t="shared" si="0"/>
        <v>2.85</v>
      </c>
      <c r="D7" s="118">
        <f t="shared" si="1"/>
        <v>2.5500000000000003</v>
      </c>
      <c r="E7" s="116" t="s">
        <v>279</v>
      </c>
    </row>
    <row r="8" spans="1:9" s="114" customFormat="1" ht="20.100000000000001" customHeight="1" thickBot="1" x14ac:dyDescent="0.4">
      <c r="B8" s="118">
        <v>0.3</v>
      </c>
      <c r="C8" s="118">
        <f t="shared" si="0"/>
        <v>2.9</v>
      </c>
      <c r="D8" s="118">
        <f t="shared" si="1"/>
        <v>2.6</v>
      </c>
      <c r="E8" s="116" t="s">
        <v>279</v>
      </c>
    </row>
    <row r="9" spans="1:9" s="114" customFormat="1" ht="20.100000000000001" customHeight="1" thickBot="1" x14ac:dyDescent="0.4">
      <c r="B9" s="118">
        <v>0.35</v>
      </c>
      <c r="C9" s="118">
        <f t="shared" si="0"/>
        <v>2.9499999999999997</v>
      </c>
      <c r="D9" s="118">
        <f t="shared" si="1"/>
        <v>2.65</v>
      </c>
      <c r="E9" s="119" t="s">
        <v>369</v>
      </c>
    </row>
    <row r="10" spans="1:9" s="114" customFormat="1" ht="20.100000000000001" customHeight="1" thickBot="1" x14ac:dyDescent="0.4">
      <c r="B10" s="118">
        <v>0.4</v>
      </c>
      <c r="C10" s="118">
        <f t="shared" si="0"/>
        <v>2.9999999999999996</v>
      </c>
      <c r="D10" s="118">
        <f t="shared" si="1"/>
        <v>2.6999999999999997</v>
      </c>
      <c r="E10" s="119" t="s">
        <v>369</v>
      </c>
    </row>
    <row r="11" spans="1:9" s="114" customFormat="1" ht="20.100000000000001" customHeight="1" thickBot="1" x14ac:dyDescent="0.4">
      <c r="B11" s="118">
        <v>0.45</v>
      </c>
      <c r="C11" s="118">
        <f t="shared" si="0"/>
        <v>3.05</v>
      </c>
      <c r="D11" s="118">
        <f t="shared" si="1"/>
        <v>2.75</v>
      </c>
      <c r="E11" s="119" t="s">
        <v>369</v>
      </c>
    </row>
    <row r="12" spans="1:9" s="114" customFormat="1" ht="20.100000000000001" customHeight="1" thickBot="1" x14ac:dyDescent="0.4">
      <c r="B12" s="118">
        <v>0.5</v>
      </c>
      <c r="C12" s="118">
        <f t="shared" si="0"/>
        <v>3.1</v>
      </c>
      <c r="D12" s="118">
        <f t="shared" si="1"/>
        <v>2.8000000000000003</v>
      </c>
      <c r="E12" s="119" t="s">
        <v>369</v>
      </c>
    </row>
    <row r="13" spans="1:9" s="114" customFormat="1" ht="20.100000000000001" customHeight="1" thickBot="1" x14ac:dyDescent="0.4">
      <c r="B13" s="118">
        <v>0.55000000000000004</v>
      </c>
      <c r="C13" s="118">
        <f t="shared" si="0"/>
        <v>3.15</v>
      </c>
      <c r="D13" s="118">
        <f t="shared" si="1"/>
        <v>2.85</v>
      </c>
      <c r="E13" s="119" t="s">
        <v>369</v>
      </c>
    </row>
    <row r="14" spans="1:9" s="114" customFormat="1" ht="20.100000000000001" customHeight="1" thickBot="1" x14ac:dyDescent="0.4">
      <c r="B14" s="118">
        <v>0.6</v>
      </c>
      <c r="C14" s="118">
        <f t="shared" si="0"/>
        <v>3.1999999999999997</v>
      </c>
      <c r="D14" s="118">
        <f t="shared" si="1"/>
        <v>2.9</v>
      </c>
      <c r="E14" s="119" t="s">
        <v>369</v>
      </c>
    </row>
    <row r="15" spans="1:9" s="114" customFormat="1" ht="20.100000000000001" customHeight="1" thickBot="1" x14ac:dyDescent="0.4">
      <c r="B15" s="118">
        <v>0.65</v>
      </c>
      <c r="C15" s="118">
        <f t="shared" si="0"/>
        <v>3.2499999999999996</v>
      </c>
      <c r="D15" s="118">
        <f t="shared" si="1"/>
        <v>2.9499999999999997</v>
      </c>
      <c r="E15" s="119" t="s">
        <v>369</v>
      </c>
    </row>
    <row r="16" spans="1:9" s="114" customFormat="1" ht="20.100000000000001" customHeight="1" thickBot="1" x14ac:dyDescent="0.4">
      <c r="B16" s="118">
        <v>0.7</v>
      </c>
      <c r="C16" s="118">
        <f t="shared" si="0"/>
        <v>3.3</v>
      </c>
      <c r="D16" s="118">
        <f t="shared" si="1"/>
        <v>3</v>
      </c>
      <c r="E16" s="119" t="s">
        <v>369</v>
      </c>
    </row>
    <row r="17" spans="2:5" s="114" customFormat="1" ht="20.100000000000001" customHeight="1" thickBot="1" x14ac:dyDescent="0.4">
      <c r="B17" s="118">
        <v>0.8</v>
      </c>
      <c r="C17" s="118">
        <f t="shared" si="0"/>
        <v>3.4</v>
      </c>
      <c r="D17" s="118">
        <f t="shared" si="1"/>
        <v>3.1</v>
      </c>
      <c r="E17" s="119" t="s">
        <v>369</v>
      </c>
    </row>
    <row r="18" spans="2:5" s="114" customFormat="1" ht="20.100000000000001" customHeight="1" thickBot="1" x14ac:dyDescent="0.4">
      <c r="B18" s="118">
        <v>0.85</v>
      </c>
      <c r="C18" s="118">
        <f t="shared" si="0"/>
        <v>3.4499999999999997</v>
      </c>
      <c r="D18" s="118">
        <f t="shared" si="1"/>
        <v>3.15</v>
      </c>
      <c r="E18" s="119" t="s">
        <v>369</v>
      </c>
    </row>
    <row r="19" spans="2:5" s="114" customFormat="1" ht="20.100000000000001" customHeight="1" x14ac:dyDescent="0.35">
      <c r="B19" s="115"/>
      <c r="C19" s="115"/>
      <c r="D19" s="115"/>
    </row>
    <row r="20" spans="2:5" s="114" customFormat="1" ht="20.100000000000001" customHeight="1" x14ac:dyDescent="0.35">
      <c r="B20" s="115"/>
      <c r="C20" s="115"/>
      <c r="D20" s="115"/>
    </row>
    <row r="21" spans="2:5" s="114" customFormat="1" ht="20.100000000000001" customHeight="1" x14ac:dyDescent="0.35">
      <c r="C21" s="115" t="s">
        <v>283</v>
      </c>
      <c r="D21" s="115"/>
    </row>
    <row r="22" spans="2:5" s="114" customFormat="1" ht="20.100000000000001" customHeight="1" x14ac:dyDescent="0.35">
      <c r="B22" s="114" t="s">
        <v>286</v>
      </c>
      <c r="C22" s="115"/>
      <c r="D22" s="115"/>
    </row>
    <row r="23" spans="2:5" s="114" customFormat="1" ht="20.100000000000001" customHeight="1" x14ac:dyDescent="0.35">
      <c r="B23" s="114" t="s">
        <v>287</v>
      </c>
      <c r="C23" s="115"/>
      <c r="D23" s="115"/>
    </row>
    <row r="24" spans="2:5" s="114" customFormat="1" ht="20.100000000000001" customHeight="1" thickBot="1" x14ac:dyDescent="0.4">
      <c r="B24" s="115"/>
      <c r="C24" s="115"/>
      <c r="D24" s="115"/>
    </row>
    <row r="25" spans="2:5" s="114" customFormat="1" ht="20.100000000000001" customHeight="1" thickBot="1" x14ac:dyDescent="0.4">
      <c r="B25" s="117" t="s">
        <v>252</v>
      </c>
      <c r="C25" s="116" t="s">
        <v>244</v>
      </c>
      <c r="D25" s="116" t="s">
        <v>245</v>
      </c>
    </row>
    <row r="26" spans="2:5" s="114" customFormat="1" ht="20.100000000000001" customHeight="1" thickBot="1" x14ac:dyDescent="0.4">
      <c r="B26" s="117" t="s">
        <v>281</v>
      </c>
      <c r="C26" s="118">
        <f>C12</f>
        <v>3.1</v>
      </c>
      <c r="D26" s="118">
        <f>D12</f>
        <v>2.8000000000000003</v>
      </c>
    </row>
    <row r="27" spans="2:5" s="114" customFormat="1" ht="20.100000000000001" customHeight="1" thickBot="1" x14ac:dyDescent="0.4">
      <c r="B27" s="117" t="s">
        <v>282</v>
      </c>
      <c r="C27" s="118">
        <f>C12-1+2*1.2</f>
        <v>4.5</v>
      </c>
      <c r="D27" s="118">
        <f>D12-1+2*1.2</f>
        <v>4.2</v>
      </c>
    </row>
    <row r="28" spans="2:5" s="114" customFormat="1" ht="20.100000000000001" customHeight="1" thickBot="1" x14ac:dyDescent="0.4">
      <c r="C28" s="120"/>
      <c r="D28" s="120"/>
    </row>
    <row r="29" spans="2:5" s="114" customFormat="1" ht="20.100000000000001" customHeight="1" thickBot="1" x14ac:dyDescent="0.4">
      <c r="B29" s="121" t="s">
        <v>252</v>
      </c>
      <c r="C29" s="122" t="s">
        <v>244</v>
      </c>
      <c r="D29" s="122" t="s">
        <v>245</v>
      </c>
    </row>
    <row r="30" spans="2:5" s="114" customFormat="1" ht="20.100000000000001" customHeight="1" thickBot="1" x14ac:dyDescent="0.4">
      <c r="B30" s="123" t="s">
        <v>281</v>
      </c>
      <c r="C30" s="124">
        <v>3.1</v>
      </c>
      <c r="D30" s="124">
        <v>2.8</v>
      </c>
    </row>
    <row r="31" spans="2:5" s="114" customFormat="1" ht="20.100000000000001" customHeight="1" thickBot="1" x14ac:dyDescent="0.4">
      <c r="B31" s="123" t="s">
        <v>290</v>
      </c>
      <c r="C31" s="124" t="s">
        <v>288</v>
      </c>
      <c r="D31" s="124" t="s">
        <v>289</v>
      </c>
    </row>
    <row r="32" spans="2:5" s="114" customFormat="1" x14ac:dyDescent="0.35"/>
  </sheetData>
  <sheetProtection algorithmName="SHA-512" hashValue="hiOvQbxAoNPrJrXRKajMf9Qt1ygfiZ3pV3gQbE94IOlf4UEf1PhvTaNStt/vbTgQ9ODSDnkrmuQSsSO58WgM9w==" saltValue="C7moHOrW4deMRf1woKyFEg==" spinCount="100000" sheet="1" objects="1" scenarios="1"/>
  <hyperlinks>
    <hyperlink ref="A1" location="Tank_Set_out_lookup" display="Menu" xr:uid="{E430EAF9-964F-4A05-B1E5-B1E50234209C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D2F0-97C0-41FB-B5A7-574AE3616F61}">
  <dimension ref="A1:O42"/>
  <sheetViews>
    <sheetView zoomScale="90" zoomScaleNormal="90" workbookViewId="0">
      <selection activeCell="A2" sqref="A2"/>
    </sheetView>
  </sheetViews>
  <sheetFormatPr defaultColWidth="8.7109375" defaultRowHeight="15" x14ac:dyDescent="0.25"/>
  <cols>
    <col min="1" max="1" width="5.7109375" style="6" customWidth="1"/>
    <col min="2" max="2" width="30.7109375" style="6" customWidth="1"/>
    <col min="3" max="4" width="18.7109375" style="5" customWidth="1"/>
    <col min="5" max="7" width="18.7109375" style="6" customWidth="1"/>
    <col min="8" max="8" width="5.7109375" style="6" customWidth="1"/>
    <col min="9" max="9" width="30.7109375" style="6" customWidth="1"/>
    <col min="10" max="14" width="18.7109375" style="6" customWidth="1"/>
    <col min="15" max="29" width="18.5703125" style="6" customWidth="1"/>
    <col min="30" max="16384" width="8.7109375" style="6"/>
  </cols>
  <sheetData>
    <row r="1" spans="1:15" ht="26.25" x14ac:dyDescent="0.25">
      <c r="A1" s="214" t="s">
        <v>323</v>
      </c>
      <c r="B1" s="215"/>
      <c r="C1" s="215"/>
      <c r="D1" s="215"/>
      <c r="E1" s="215"/>
      <c r="F1" s="215"/>
      <c r="G1" s="215"/>
      <c r="H1" s="95"/>
      <c r="I1" s="214" t="s">
        <v>322</v>
      </c>
      <c r="J1" s="215"/>
      <c r="K1" s="215"/>
      <c r="L1" s="215"/>
      <c r="M1" s="215"/>
      <c r="N1" s="215"/>
      <c r="O1" s="215"/>
    </row>
    <row r="2" spans="1:15" x14ac:dyDescent="0.25">
      <c r="A2" s="105" t="s">
        <v>21</v>
      </c>
      <c r="B2" s="39"/>
      <c r="H2" s="95"/>
    </row>
    <row r="3" spans="1:15" x14ac:dyDescent="0.25">
      <c r="B3" s="96" t="s">
        <v>222</v>
      </c>
      <c r="C3" s="104">
        <v>6</v>
      </c>
      <c r="D3" s="5" t="s">
        <v>326</v>
      </c>
      <c r="F3" s="96" t="str">
        <f>'DP Settings'!B2 &amp;" "&amp;'DP Settings'!B1</f>
        <v>Copyright © 2023 Devan Plastics Limited</v>
      </c>
      <c r="G3" s="40"/>
      <c r="H3" s="95"/>
      <c r="I3" s="96" t="s">
        <v>226</v>
      </c>
      <c r="J3" s="104">
        <v>2</v>
      </c>
      <c r="K3" s="41" t="s">
        <v>328</v>
      </c>
      <c r="M3" s="8" t="str">
        <f>'DP Settings'!B2 &amp;" "&amp;'DP Settings'!B1</f>
        <v>Copyright © 2023 Devan Plastics Limited</v>
      </c>
    </row>
    <row r="4" spans="1:15" x14ac:dyDescent="0.25">
      <c r="B4" s="96" t="s">
        <v>223</v>
      </c>
      <c r="C4" s="97">
        <f>C3*1000</f>
        <v>6000</v>
      </c>
      <c r="D4" s="41"/>
      <c r="G4" s="8" t="str">
        <f>'DP Settings'!B4</f>
        <v>0800 466 203</v>
      </c>
      <c r="H4" s="95"/>
      <c r="I4" s="96" t="s">
        <v>227</v>
      </c>
      <c r="J4" s="97">
        <f>J3*1000</f>
        <v>2000</v>
      </c>
      <c r="N4" s="8" t="str">
        <f>'DP Settings'!B4</f>
        <v>0800 466 203</v>
      </c>
    </row>
    <row r="5" spans="1:15" x14ac:dyDescent="0.25">
      <c r="B5" s="96"/>
      <c r="C5" s="98"/>
      <c r="D5" s="41"/>
      <c r="H5" s="95"/>
      <c r="I5" s="96"/>
      <c r="J5" s="99"/>
      <c r="N5" s="39"/>
    </row>
    <row r="6" spans="1:15" x14ac:dyDescent="0.25">
      <c r="B6" s="96" t="s">
        <v>224</v>
      </c>
      <c r="C6" s="104">
        <v>1</v>
      </c>
      <c r="D6" s="41" t="s">
        <v>327</v>
      </c>
      <c r="H6" s="95"/>
      <c r="I6" s="96" t="s">
        <v>224</v>
      </c>
      <c r="J6" s="104">
        <v>0.8</v>
      </c>
      <c r="K6" s="41" t="s">
        <v>327</v>
      </c>
    </row>
    <row r="7" spans="1:15" x14ac:dyDescent="0.25">
      <c r="B7" s="96" t="s">
        <v>225</v>
      </c>
      <c r="C7" s="97">
        <f>C6*1000</f>
        <v>1000</v>
      </c>
      <c r="D7" s="41"/>
      <c r="H7" s="95"/>
      <c r="I7" s="96" t="s">
        <v>225</v>
      </c>
      <c r="J7" s="97">
        <f>J6*1000</f>
        <v>800</v>
      </c>
    </row>
    <row r="8" spans="1:15" x14ac:dyDescent="0.25">
      <c r="B8" s="96"/>
      <c r="C8" s="100"/>
      <c r="H8" s="95"/>
      <c r="I8" s="96"/>
      <c r="J8" s="99"/>
    </row>
    <row r="9" spans="1:15" x14ac:dyDescent="0.25">
      <c r="B9" s="96" t="s">
        <v>235</v>
      </c>
      <c r="C9" s="101">
        <f>C3/(PI()*(C6/2)^2)</f>
        <v>7.6394372684109761</v>
      </c>
      <c r="D9" s="6"/>
      <c r="H9" s="95"/>
      <c r="I9" s="96" t="s">
        <v>240</v>
      </c>
      <c r="J9" s="101">
        <f>(PI()*(J6/2)^2)*J3</f>
        <v>1.0053096491487339</v>
      </c>
    </row>
    <row r="10" spans="1:15" x14ac:dyDescent="0.25">
      <c r="B10" s="96" t="s">
        <v>236</v>
      </c>
      <c r="C10" s="97">
        <f>ROUNDUP(C9*1000,0)</f>
        <v>7640</v>
      </c>
      <c r="D10" s="6"/>
      <c r="H10" s="95"/>
      <c r="I10" s="96" t="s">
        <v>238</v>
      </c>
      <c r="J10" s="97">
        <f>J9*1000</f>
        <v>1005.3096491487339</v>
      </c>
    </row>
    <row r="11" spans="1:15" x14ac:dyDescent="0.25">
      <c r="D11" s="41"/>
      <c r="H11" s="95"/>
    </row>
    <row r="12" spans="1:15" hidden="1" x14ac:dyDescent="0.25">
      <c r="B12" s="59" t="s">
        <v>230</v>
      </c>
      <c r="C12" s="5">
        <v>0.6</v>
      </c>
      <c r="D12" s="102">
        <f>'DP Settings'!C76</f>
        <v>0.59750000000000003</v>
      </c>
      <c r="H12" s="95"/>
      <c r="I12" s="59" t="s">
        <v>230</v>
      </c>
      <c r="J12" s="5">
        <v>0.6</v>
      </c>
    </row>
    <row r="13" spans="1:15" hidden="1" x14ac:dyDescent="0.25">
      <c r="B13" s="59" t="s">
        <v>63</v>
      </c>
      <c r="C13" s="5">
        <f>2*ACOS((C12-(1.2-C6))/C12)</f>
        <v>1.6821373411358602</v>
      </c>
      <c r="H13" s="95"/>
      <c r="I13" s="59" t="s">
        <v>63</v>
      </c>
      <c r="J13" s="5">
        <f>2*ACOS((J12-(1.2-J6))/J12)</f>
        <v>2.461918834681549</v>
      </c>
    </row>
    <row r="14" spans="1:15" hidden="1" x14ac:dyDescent="0.25">
      <c r="B14" s="59" t="s">
        <v>228</v>
      </c>
      <c r="C14" s="5">
        <f>C13*180/PI()</f>
        <v>96.379370208442793</v>
      </c>
      <c r="H14" s="95"/>
      <c r="I14" s="59" t="s">
        <v>228</v>
      </c>
      <c r="J14" s="5">
        <f>J13*180/PI()</f>
        <v>141.05755873101862</v>
      </c>
    </row>
    <row r="15" spans="1:15" hidden="1" x14ac:dyDescent="0.25">
      <c r="B15" s="59" t="s">
        <v>229</v>
      </c>
      <c r="C15" s="5">
        <f>0.5*C12^2*(C13-SIN(C13))</f>
        <v>0.12389928320447165</v>
      </c>
      <c r="H15" s="95"/>
      <c r="I15" s="59" t="s">
        <v>229</v>
      </c>
      <c r="J15" s="5">
        <f>0.5*J12^2*(J13-SIN(J13))</f>
        <v>0.33000830525283115</v>
      </c>
    </row>
    <row r="16" spans="1:15" x14ac:dyDescent="0.25">
      <c r="C16" s="96" t="s">
        <v>324</v>
      </c>
      <c r="E16" s="96" t="s">
        <v>325</v>
      </c>
      <c r="F16" s="96"/>
      <c r="G16" s="100">
        <f>(1.2-C6)*1000</f>
        <v>199.99999999999994</v>
      </c>
      <c r="H16" s="95"/>
      <c r="J16" s="96" t="s">
        <v>324</v>
      </c>
      <c r="K16" s="5"/>
      <c r="L16" s="96" t="s">
        <v>325</v>
      </c>
      <c r="M16" s="96"/>
      <c r="N16" s="100">
        <f>(1.2-C6)*1000</f>
        <v>199.99999999999994</v>
      </c>
    </row>
    <row r="17" spans="2:14" x14ac:dyDescent="0.25">
      <c r="D17" s="6"/>
      <c r="H17" s="95"/>
    </row>
    <row r="18" spans="2:14" x14ac:dyDescent="0.25">
      <c r="B18" s="5" t="s">
        <v>231</v>
      </c>
      <c r="C18" s="5" t="s">
        <v>232</v>
      </c>
      <c r="D18" s="5" t="s">
        <v>233</v>
      </c>
      <c r="E18" s="5" t="s">
        <v>239</v>
      </c>
      <c r="F18" s="6" t="s">
        <v>237</v>
      </c>
      <c r="G18" s="6" t="s">
        <v>234</v>
      </c>
      <c r="H18" s="95"/>
      <c r="I18" s="5" t="s">
        <v>231</v>
      </c>
      <c r="J18" s="5" t="s">
        <v>232</v>
      </c>
      <c r="K18" s="5" t="s">
        <v>233</v>
      </c>
      <c r="L18" s="5" t="s">
        <v>239</v>
      </c>
      <c r="M18" s="6" t="s">
        <v>237</v>
      </c>
      <c r="N18" s="6" t="s">
        <v>234</v>
      </c>
    </row>
    <row r="19" spans="2:14" x14ac:dyDescent="0.25">
      <c r="B19" s="5" t="str">
        <f>IF(G19&lt;C3,"TANK TOO SMALL", "TANK OKAY ==&gt;")</f>
        <v>TANK TOO SMALL</v>
      </c>
      <c r="C19" s="5">
        <f>'DP Settings'!E2</f>
        <v>1</v>
      </c>
      <c r="D19" s="44">
        <f>VLOOKUP(C19,'DP Settings'!E2:L25,3,FALSE)/1000</f>
        <v>1.2829999999999999</v>
      </c>
      <c r="E19" s="44">
        <f>VLOOKUP(C19,'DP Settings'!E2:L25,4,FALSE)</f>
        <v>1.4650000000000001</v>
      </c>
      <c r="F19" s="44">
        <f>ROUNDUP(VLOOKUP(C19,'DP Settings'!E2:L25,8,FALSE)*(('DP Settings'!C73^2)/2)*((C13-SIN(C13))*1000),0)/1000</f>
        <v>0.14099999999999999</v>
      </c>
      <c r="G19" s="44">
        <f t="shared" ref="G19:G28" si="0">D19-F19</f>
        <v>1.1419999999999999</v>
      </c>
      <c r="H19" s="103"/>
      <c r="I19" s="5" t="str">
        <f>IF(N19&lt;J9,"TANK TOO SMALL", "TANK OKAY ==&gt;")</f>
        <v>TANK TOO SMALL</v>
      </c>
      <c r="J19" s="5">
        <f>'DP Settings'!E2</f>
        <v>1</v>
      </c>
      <c r="K19" s="44">
        <f>VLOOKUP(J19,'DP Settings'!E2:L25,3,FALSE)/1000</f>
        <v>1.2829999999999999</v>
      </c>
      <c r="L19" s="44">
        <f t="shared" ref="L19:L42" si="1">E19</f>
        <v>1.4650000000000001</v>
      </c>
      <c r="M19" s="44">
        <f>ROUNDUP(VLOOKUP(J19,'DP Settings'!E2:L25,8,FALSE)*(('DP Settings'!C73^2)/2)*((J13-SIN(J13))*1000),0)/1000</f>
        <v>0.375</v>
      </c>
      <c r="N19" s="44">
        <f t="shared" ref="N19:N42" si="2">K19-M19</f>
        <v>0.90799999999999992</v>
      </c>
    </row>
    <row r="20" spans="2:14" x14ac:dyDescent="0.25">
      <c r="B20" s="5" t="str">
        <f>IF(G20&lt;C3,"TANK TOO SMALL", "TANK OKAY ==&gt;")</f>
        <v>TANK TOO SMALL</v>
      </c>
      <c r="C20" s="5">
        <f>'DP Settings'!E3</f>
        <v>1.5</v>
      </c>
      <c r="D20" s="44">
        <f>VLOOKUP(C20,'DP Settings'!E2:L25,3,FALSE)/1000</f>
        <v>1.6718</v>
      </c>
      <c r="E20" s="44">
        <f>VLOOKUP(C20,'DP Settings'!E2:L25,4,FALSE)</f>
        <v>1.9100000000000001</v>
      </c>
      <c r="F20" s="44">
        <f>ROUNDUP(VLOOKUP(C20,'DP Settings'!E2:L25,8,FALSE)*(('DP Settings'!C73^2)/2)*((C13-SIN(C13))*1000),0)/1000</f>
        <v>0.184</v>
      </c>
      <c r="G20" s="44">
        <f t="shared" si="0"/>
        <v>1.4878</v>
      </c>
      <c r="H20" s="103"/>
      <c r="I20" s="5" t="str">
        <f>IF(N20&lt;J9,"TANK TOO SMALL", "TANK OKAY ==&gt;")</f>
        <v>TANK OKAY ==&gt;</v>
      </c>
      <c r="J20" s="5">
        <f>'DP Settings'!E3</f>
        <v>1.5</v>
      </c>
      <c r="K20" s="44">
        <f>VLOOKUP(J20,'DP Settings'!E3:L26,3,FALSE)/1000</f>
        <v>1.6718</v>
      </c>
      <c r="L20" s="44">
        <f t="shared" si="1"/>
        <v>1.9100000000000001</v>
      </c>
      <c r="M20" s="44">
        <f>ROUNDUP(VLOOKUP(J20,'DP Settings'!E2:L25,8,FALSE)*(('DP Settings'!C73^2)/2)*((J13-SIN(J13))*1000),0)/1000</f>
        <v>0.48799999999999999</v>
      </c>
      <c r="N20" s="44">
        <f t="shared" si="2"/>
        <v>1.1838</v>
      </c>
    </row>
    <row r="21" spans="2:14" x14ac:dyDescent="0.25">
      <c r="B21" s="5" t="str">
        <f>IF(G21&lt;C3,"TANK TOO SMALL", "TANK OKAY ==&gt;")</f>
        <v>TANK TOO SMALL</v>
      </c>
      <c r="C21" s="5">
        <f>'DP Settings'!E4</f>
        <v>2</v>
      </c>
      <c r="D21" s="44">
        <f>VLOOKUP(C21,'DP Settings'!E2:L25,3,FALSE)/1000</f>
        <v>2.0390000000000001</v>
      </c>
      <c r="E21" s="44">
        <f>VLOOKUP(C21,'DP Settings'!E2:L25,4,FALSE)</f>
        <v>2.25</v>
      </c>
      <c r="F21" s="44">
        <f>ROUNDUP(VLOOKUP(C21,'DP Settings'!E2:L25,8,FALSE)*(('DP Settings'!C73^2)/2)*((C13-SIN(C13))*1000),0)/1000</f>
        <v>0.224</v>
      </c>
      <c r="G21" s="44">
        <f t="shared" si="0"/>
        <v>1.8150000000000002</v>
      </c>
      <c r="H21" s="103"/>
      <c r="I21" s="5" t="str">
        <f>IF(N21&lt;J9,"TANK TOO SMALL", "TANK OKAY ==&gt;")</f>
        <v>TANK OKAY ==&gt;</v>
      </c>
      <c r="J21" s="5">
        <f>'DP Settings'!E4</f>
        <v>2</v>
      </c>
      <c r="K21" s="44">
        <f>VLOOKUP(J21,'DP Settings'!E4:L27,3,FALSE)/1000</f>
        <v>2.0390000000000001</v>
      </c>
      <c r="L21" s="44">
        <f t="shared" si="1"/>
        <v>2.25</v>
      </c>
      <c r="M21" s="44">
        <f>ROUNDUP(VLOOKUP(J21,'DP Settings'!E2:L25,8,FALSE)*(('DP Settings'!C73^2)/2)*((J13-SIN(J13))*1000),0)/1000</f>
        <v>0.59599999999999997</v>
      </c>
      <c r="N21" s="44">
        <f t="shared" si="2"/>
        <v>1.4430000000000001</v>
      </c>
    </row>
    <row r="22" spans="2:14" x14ac:dyDescent="0.25">
      <c r="B22" s="5" t="str">
        <f>IF(G22&lt;C3,"TANK TOO SMALL", "TANK OKAY ==&gt;")</f>
        <v>TANK TOO SMALL</v>
      </c>
      <c r="C22" s="5">
        <f>'DP Settings'!E5</f>
        <v>2.5</v>
      </c>
      <c r="D22" s="44">
        <f>VLOOKUP(C22,'DP Settings'!E2:L25,3,FALSE)/1000</f>
        <v>2.552</v>
      </c>
      <c r="E22" s="44">
        <f>VLOOKUP(C22,'DP Settings'!E2:L25,4,FALSE)</f>
        <v>2.7250000000000001</v>
      </c>
      <c r="F22" s="44">
        <f>ROUNDUP(VLOOKUP(C22,'DP Settings'!E2:L25,8,FALSE)*(('DP Settings'!C73^2)/2)*((C13-SIN(C13))*1000),0)/1000</f>
        <v>0.28000000000000003</v>
      </c>
      <c r="G22" s="44">
        <f t="shared" si="0"/>
        <v>2.2720000000000002</v>
      </c>
      <c r="H22" s="103"/>
      <c r="I22" s="5" t="str">
        <f>IF(N22&lt;J9,"TANK TOO SMALL", "TANK OKAY ==&gt;")</f>
        <v>TANK OKAY ==&gt;</v>
      </c>
      <c r="J22" s="5">
        <f>'DP Settings'!E5</f>
        <v>2.5</v>
      </c>
      <c r="K22" s="44">
        <f>VLOOKUP(J22,'DP Settings'!E5:L28,3,FALSE)/1000</f>
        <v>2.552</v>
      </c>
      <c r="L22" s="44">
        <f t="shared" si="1"/>
        <v>2.7250000000000001</v>
      </c>
      <c r="M22" s="44">
        <f>ROUNDUP(VLOOKUP(J22,'DP Settings'!E2:L25,8,FALSE)*(('DP Settings'!C73^2)/2)*((J13-SIN(J13))*1000),0)/1000</f>
        <v>0.745</v>
      </c>
      <c r="N22" s="44">
        <f t="shared" si="2"/>
        <v>1.8069999999999999</v>
      </c>
    </row>
    <row r="23" spans="2:14" x14ac:dyDescent="0.25">
      <c r="B23" s="5" t="str">
        <f>IF(G23&lt;C3,"TANK TOO SMALL", "TANK OKAY ==&gt;")</f>
        <v>TANK TOO SMALL</v>
      </c>
      <c r="C23" s="5">
        <f>'DP Settings'!E6</f>
        <v>3</v>
      </c>
      <c r="D23" s="44">
        <f>VLOOKUP(C23,'DP Settings'!E2:L25,3,FALSE)/1000</f>
        <v>3.0649999999999999</v>
      </c>
      <c r="E23" s="44">
        <f>VLOOKUP(C23,'DP Settings'!E2:L25,4,FALSE)</f>
        <v>3.2</v>
      </c>
      <c r="F23" s="44">
        <f>ROUNDUP(VLOOKUP(C23,'DP Settings'!E2:L25,8,FALSE)*(('DP Settings'!C73^2)/2)*((C13-SIN(C13))*1000),0)/1000</f>
        <v>0.33600000000000002</v>
      </c>
      <c r="G23" s="44">
        <f t="shared" si="0"/>
        <v>2.7290000000000001</v>
      </c>
      <c r="H23" s="103"/>
      <c r="I23" s="5" t="str">
        <f>IF(N23&lt;J9,"TANK TOO SMALL", "TANK OKAY ==&gt;")</f>
        <v>TANK OKAY ==&gt;</v>
      </c>
      <c r="J23" s="5">
        <f>'DP Settings'!E6</f>
        <v>3</v>
      </c>
      <c r="K23" s="44">
        <f>VLOOKUP(J23,'DP Settings'!E6:L29,3,FALSE)/1000</f>
        <v>3.0649999999999999</v>
      </c>
      <c r="L23" s="44">
        <f t="shared" si="1"/>
        <v>3.2</v>
      </c>
      <c r="M23" s="44">
        <f>ROUNDUP(VLOOKUP(J23,'DP Settings'!E2:L25,8,FALSE)*(('DP Settings'!C73^2)/2)*((J13-SIN(J13))*1000),0)/1000</f>
        <v>0.89500000000000002</v>
      </c>
      <c r="N23" s="44">
        <f t="shared" si="2"/>
        <v>2.17</v>
      </c>
    </row>
    <row r="24" spans="2:14" x14ac:dyDescent="0.25">
      <c r="B24" s="5" t="str">
        <f>IF(G24&lt;C3,"TANK TOO SMALL", "TANK OKAY ==&gt;")</f>
        <v>TANK TOO SMALL</v>
      </c>
      <c r="C24" s="5">
        <f>'DP Settings'!E7</f>
        <v>3.5</v>
      </c>
      <c r="D24" s="44">
        <f>VLOOKUP(C24,'DP Settings'!E2:L25,3,FALSE)/1000</f>
        <v>3.5779999999999998</v>
      </c>
      <c r="E24" s="44">
        <f>VLOOKUP(C24,'DP Settings'!E2:L25,4,FALSE)</f>
        <v>3.6750000000000003</v>
      </c>
      <c r="F24" s="44">
        <f>ROUNDUP(VLOOKUP(C24,'DP Settings'!E2:L25,8,FALSE)*(('DP Settings'!C73^2)/2)*((C13-SIN(C13))*1000),0)/1000</f>
        <v>0.39300000000000002</v>
      </c>
      <c r="G24" s="44">
        <f t="shared" si="0"/>
        <v>3.1849999999999996</v>
      </c>
      <c r="H24" s="103"/>
      <c r="I24" s="5" t="str">
        <f>IF(N24&lt;J9,"TANK TOO SMALL", "TANK OKAY ==&gt;")</f>
        <v>TANK OKAY ==&gt;</v>
      </c>
      <c r="J24" s="5">
        <f>'DP Settings'!E7</f>
        <v>3.5</v>
      </c>
      <c r="K24" s="44">
        <f>VLOOKUP(J24,'DP Settings'!E7:L30,3,FALSE)/1000</f>
        <v>3.5779999999999998</v>
      </c>
      <c r="L24" s="44">
        <f t="shared" si="1"/>
        <v>3.6750000000000003</v>
      </c>
      <c r="M24" s="44">
        <f>ROUNDUP(VLOOKUP(J24,'DP Settings'!E2:L25,8,FALSE)*(('DP Settings'!C73^2)/2)*((J13-SIN(J13))*1000),0)/1000</f>
        <v>1.0449999999999999</v>
      </c>
      <c r="N24" s="44">
        <f t="shared" si="2"/>
        <v>2.5329999999999999</v>
      </c>
    </row>
    <row r="25" spans="2:14" x14ac:dyDescent="0.25">
      <c r="B25" s="5" t="str">
        <f>IF(G25&lt;C3,"TANK TOO SMALL", "TANK OKAY ==&gt;")</f>
        <v>TANK TOO SMALL</v>
      </c>
      <c r="C25" s="5">
        <f>'DP Settings'!E8</f>
        <v>4</v>
      </c>
      <c r="D25" s="44">
        <f>VLOOKUP(C25,'DP Settings'!E2:L25,3,FALSE)/1000</f>
        <v>4.0910000000000002</v>
      </c>
      <c r="E25" s="44">
        <f>VLOOKUP(C25,'DP Settings'!E2:L25,4,FALSE)</f>
        <v>4.1500000000000004</v>
      </c>
      <c r="F25" s="44">
        <f>ROUNDUP(VLOOKUP(C25,'DP Settings'!E2:L25,8,FALSE)*(('DP Settings'!C73^2)/2)*((C13-SIN(C13))*1000),0)/1000</f>
        <v>0.44900000000000001</v>
      </c>
      <c r="G25" s="44">
        <f t="shared" si="0"/>
        <v>3.6420000000000003</v>
      </c>
      <c r="H25" s="103"/>
      <c r="I25" s="5" t="str">
        <f>IF(N25&lt;J9,"TANK TOO SMALL", "TANK OKAY ==&gt;")</f>
        <v>TANK OKAY ==&gt;</v>
      </c>
      <c r="J25" s="5">
        <f>'DP Settings'!E8</f>
        <v>4</v>
      </c>
      <c r="K25" s="44">
        <f>VLOOKUP(J25,'DP Settings'!E8:L31,3,FALSE)/1000</f>
        <v>4.0910000000000002</v>
      </c>
      <c r="L25" s="44">
        <f t="shared" si="1"/>
        <v>4.1500000000000004</v>
      </c>
      <c r="M25" s="44">
        <f>ROUNDUP(VLOOKUP(J25,'DP Settings'!E2:L25,8,FALSE)*(('DP Settings'!C73^2)/2)*((J13-SIN(J13))*1000),0)/1000</f>
        <v>1.194</v>
      </c>
      <c r="N25" s="44">
        <f t="shared" si="2"/>
        <v>2.8970000000000002</v>
      </c>
    </row>
    <row r="26" spans="2:14" x14ac:dyDescent="0.25">
      <c r="B26" s="5" t="str">
        <f>IF(G26&lt;C3,"TANK TOO SMALL", "TANK OKAY ==&gt;")</f>
        <v>TANK TOO SMALL</v>
      </c>
      <c r="C26" s="5">
        <f>'DP Settings'!E9</f>
        <v>4.5</v>
      </c>
      <c r="D26" s="44">
        <f>VLOOKUP(C26,'DP Settings'!E2:L25,3,FALSE)/1000</f>
        <v>4.5229999999999997</v>
      </c>
      <c r="E26" s="44">
        <f>VLOOKUP(C26,'DP Settings'!E2:L25,4,FALSE)</f>
        <v>4.55</v>
      </c>
      <c r="F26" s="44">
        <f>ROUNDUP(VLOOKUP(C26,'DP Settings'!E2:L25,8,FALSE)*(('DP Settings'!C73^2)/2)*((C13-SIN(C13))*1000),0)/1000</f>
        <v>0.496</v>
      </c>
      <c r="G26" s="44">
        <f t="shared" si="0"/>
        <v>4.0269999999999992</v>
      </c>
      <c r="H26" s="103"/>
      <c r="I26" s="5" t="str">
        <f>IF(N26&lt;J9,"TANK TOO SMALL", "TANK OKAY ==&gt;")</f>
        <v>TANK OKAY ==&gt;</v>
      </c>
      <c r="J26" s="5">
        <f>'DP Settings'!E9</f>
        <v>4.5</v>
      </c>
      <c r="K26" s="44">
        <f>VLOOKUP(J26,'DP Settings'!E9:L32,3,FALSE)/1000</f>
        <v>4.5229999999999997</v>
      </c>
      <c r="L26" s="44">
        <f t="shared" si="1"/>
        <v>4.55</v>
      </c>
      <c r="M26" s="44">
        <f>ROUNDUP(VLOOKUP(J26,'DP Settings'!E2:L25,8,FALSE)*(('DP Settings'!C73^2)/2)*((J13-SIN(J13))*1000),0)/1000</f>
        <v>1.32</v>
      </c>
      <c r="N26" s="44">
        <f t="shared" si="2"/>
        <v>3.2029999999999994</v>
      </c>
    </row>
    <row r="27" spans="2:14" x14ac:dyDescent="0.25">
      <c r="B27" s="5" t="str">
        <f>IF(G27&lt;C3,"TANK TOO SMALL", "TANK OKAY ==&gt;")</f>
        <v>TANK TOO SMALL</v>
      </c>
      <c r="C27" s="5">
        <f>'DP Settings'!E10</f>
        <v>5</v>
      </c>
      <c r="D27" s="44">
        <f>VLOOKUP(C27,'DP Settings'!E2:L25,3,FALSE)/1000</f>
        <v>5.0629999999999997</v>
      </c>
      <c r="E27" s="44">
        <f>VLOOKUP(C27,'DP Settings'!E2:L25,4,FALSE)</f>
        <v>5.05</v>
      </c>
      <c r="F27" s="44">
        <f>ROUNDUP(VLOOKUP(C27,'DP Settings'!E2:L25,8,FALSE)*(('DP Settings'!C73^2)/2)*((C13-SIN(C13))*1000),0)/1000</f>
        <v>0.55500000000000005</v>
      </c>
      <c r="G27" s="44">
        <f t="shared" si="0"/>
        <v>4.508</v>
      </c>
      <c r="H27" s="103"/>
      <c r="I27" s="5" t="str">
        <f>IF(N27&lt;J9,"TANK TOO SMALL", "TANK OKAY ==&gt;")</f>
        <v>TANK OKAY ==&gt;</v>
      </c>
      <c r="J27" s="5">
        <f>'DP Settings'!E10</f>
        <v>5</v>
      </c>
      <c r="K27" s="44">
        <f>VLOOKUP(J27,'DP Settings'!E10:L33,3,FALSE)/1000</f>
        <v>5.0629999999999997</v>
      </c>
      <c r="L27" s="44">
        <f t="shared" si="1"/>
        <v>5.05</v>
      </c>
      <c r="M27" s="44">
        <f>ROUNDUP(VLOOKUP(J27,'DP Settings'!E2:L25,8,FALSE)*(('DP Settings'!C73^2)/2)*((J13-SIN(J13))*1000),0)/1000</f>
        <v>1.478</v>
      </c>
      <c r="N27" s="44">
        <f t="shared" si="2"/>
        <v>3.585</v>
      </c>
    </row>
    <row r="28" spans="2:14" x14ac:dyDescent="0.25">
      <c r="B28" s="5" t="str">
        <f>IF(G28&lt;C3,"TANK TOO SMALL", "TANK OKAY ==&gt;")</f>
        <v>TANK TOO SMALL</v>
      </c>
      <c r="C28" s="5">
        <f>'DP Settings'!E11</f>
        <v>5.5</v>
      </c>
      <c r="D28" s="44">
        <f>VLOOKUP(C28,'DP Settings'!E2:L25,3,FALSE)/1000</f>
        <v>5.5490000000000004</v>
      </c>
      <c r="E28" s="44">
        <f>VLOOKUP(C28,'DP Settings'!E2:L25,4,FALSE)</f>
        <v>5.5</v>
      </c>
      <c r="F28" s="44">
        <f>ROUNDUP(VLOOKUP(C28,'DP Settings'!E2:L25,8,FALSE)*(('DP Settings'!C73^2)/2)*((C13-SIN(C13))*1000),0)/1000</f>
        <v>0.60799999999999998</v>
      </c>
      <c r="G28" s="44">
        <f t="shared" si="0"/>
        <v>4.9410000000000007</v>
      </c>
      <c r="H28" s="103"/>
      <c r="I28" s="5" t="str">
        <f>IF(N28&lt;J9,"TANK TOO SMALL", "TANK OKAY ==&gt;")</f>
        <v>TANK OKAY ==&gt;</v>
      </c>
      <c r="J28" s="5">
        <f>'DP Settings'!E11</f>
        <v>5.5</v>
      </c>
      <c r="K28" s="44">
        <f>VLOOKUP(J28,'DP Settings'!E11:L34,3,FALSE)/1000</f>
        <v>5.5490000000000004</v>
      </c>
      <c r="L28" s="44">
        <f t="shared" si="1"/>
        <v>5.5</v>
      </c>
      <c r="M28" s="44">
        <f>ROUNDUP(VLOOKUP(J28,'DP Settings'!E2:L25,8,FALSE)*(('DP Settings'!C73^2)/2)*((J13-SIN(J13))*1000),0)/1000</f>
        <v>1.62</v>
      </c>
      <c r="N28" s="44">
        <f t="shared" si="2"/>
        <v>3.9290000000000003</v>
      </c>
    </row>
    <row r="29" spans="2:14" x14ac:dyDescent="0.25">
      <c r="B29" s="5" t="str">
        <f>IF(G29&lt;C3,"TANK TOO SMALL", "TANK OKAY ==&gt;")</f>
        <v>TANK TOO SMALL</v>
      </c>
      <c r="C29" s="5">
        <f>'DP Settings'!E12</f>
        <v>6</v>
      </c>
      <c r="D29" s="44">
        <f>VLOOKUP(C29,'DP Settings'!E2:L25,3,FALSE)/1000</f>
        <v>6.0350000000000001</v>
      </c>
      <c r="E29" s="44">
        <f>VLOOKUP(C29,'DP Settings'!E2:L25,4,FALSE)</f>
        <v>5.95</v>
      </c>
      <c r="F29" s="44">
        <f>(ROUNDUP(VLOOKUP(C29,'DP Settings'!E2:L25,8,FALSE)*(('DP Settings'!C73^2)/2)*((C13-SIN(C13))*1000),0))/1000</f>
        <v>0.66200000000000003</v>
      </c>
      <c r="G29" s="44">
        <f>D29-F29</f>
        <v>5.3730000000000002</v>
      </c>
      <c r="H29" s="103"/>
      <c r="I29" s="5" t="str">
        <f>IF(N29&lt;J9,"TANK TOO SMALL", "TANK OKAY ==&gt;")</f>
        <v>TANK OKAY ==&gt;</v>
      </c>
      <c r="J29" s="5">
        <f>'DP Settings'!E12</f>
        <v>6</v>
      </c>
      <c r="K29" s="44">
        <f>VLOOKUP(J29,'DP Settings'!E12:L35,3,FALSE)/1000</f>
        <v>6.0350000000000001</v>
      </c>
      <c r="L29" s="44">
        <f t="shared" si="1"/>
        <v>5.95</v>
      </c>
      <c r="M29" s="5">
        <f>ROUNDUP(VLOOKUP(J29,'DP Settings'!E2:L25,8,FALSE)*(('DP Settings'!C73^2)/2)*((J13-SIN(J13))*1000),0)/1000</f>
        <v>1.762</v>
      </c>
      <c r="N29" s="44">
        <f t="shared" si="2"/>
        <v>4.2729999999999997</v>
      </c>
    </row>
    <row r="30" spans="2:14" x14ac:dyDescent="0.25">
      <c r="B30" s="5" t="str">
        <f>IF(G30&lt;C3,"TANK TOO SMALL", "TANK OKAY ==&gt;")</f>
        <v>TANK TOO SMALL</v>
      </c>
      <c r="C30" s="5">
        <f>'DP Settings'!E13</f>
        <v>6.5</v>
      </c>
      <c r="D30" s="44">
        <f>VLOOKUP(C30,'DP Settings'!E2:L25,3,FALSE)/1000</f>
        <v>6.548</v>
      </c>
      <c r="E30" s="44">
        <f>VLOOKUP(C30,'DP Settings'!E2:L25,4,FALSE)</f>
        <v>6.4249999999999998</v>
      </c>
      <c r="F30" s="44">
        <f>ROUNDUP(VLOOKUP(C30,'DP Settings'!E2:L25,8,FALSE)*(('DP Settings'!C73^2)/2)*((C13-SIN(C13))*1000),0)/1000</f>
        <v>0.71799999999999997</v>
      </c>
      <c r="G30" s="44">
        <f t="shared" ref="G30:G42" si="3">D30-F30</f>
        <v>5.83</v>
      </c>
      <c r="H30" s="103"/>
      <c r="I30" s="5" t="str">
        <f>IF(N30&lt;J9,"TANK TOO SMALL", "TANK OKAY ==&gt;")</f>
        <v>TANK OKAY ==&gt;</v>
      </c>
      <c r="J30" s="5">
        <f>'DP Settings'!E13</f>
        <v>6.5</v>
      </c>
      <c r="K30" s="44">
        <f>VLOOKUP(J30,'DP Settings'!E13:L36,3,FALSE)/1000</f>
        <v>6.548</v>
      </c>
      <c r="L30" s="44">
        <f t="shared" si="1"/>
        <v>6.4249999999999998</v>
      </c>
      <c r="M30" s="5">
        <f>ROUNDUP(VLOOKUP(J30,'DP Settings'!E2:L25,8,FALSE)*(('DP Settings'!C73^2)/2)*((J13-SIN(J13))*1000),0)/1000</f>
        <v>1.911</v>
      </c>
      <c r="N30" s="44">
        <f t="shared" si="2"/>
        <v>4.6370000000000005</v>
      </c>
    </row>
    <row r="31" spans="2:14" x14ac:dyDescent="0.25">
      <c r="B31" s="5" t="str">
        <f>IF(G31&lt;C3,"TANK TOO SMALL", "TANK OKAY ==&gt;")</f>
        <v>TANK OKAY ==&gt;</v>
      </c>
      <c r="C31" s="5">
        <f>'DP Settings'!E14</f>
        <v>7</v>
      </c>
      <c r="D31" s="44">
        <f>VLOOKUP(C31,'DP Settings'!E2:L25,3,FALSE)/1000</f>
        <v>7.0609999999999999</v>
      </c>
      <c r="E31" s="44">
        <f>VLOOKUP(C31,'DP Settings'!E2:L25,4,FALSE)</f>
        <v>6.8999999999999995</v>
      </c>
      <c r="F31" s="44">
        <f>ROUNDUP(VLOOKUP(C31,'DP Settings'!E2:L25,8,FALSE)*(('DP Settings'!C73^2)/2)*((C13-SIN(C13))*1000),0)/1000</f>
        <v>0.77400000000000002</v>
      </c>
      <c r="G31" s="44">
        <f t="shared" si="3"/>
        <v>6.2869999999999999</v>
      </c>
      <c r="H31" s="103"/>
      <c r="I31" s="5" t="str">
        <f>IF(N31&lt;J9,"TANK TOO SMALL", "TANK OKAY ==&gt;")</f>
        <v>TANK OKAY ==&gt;</v>
      </c>
      <c r="J31" s="5">
        <f>'DP Settings'!E14</f>
        <v>7</v>
      </c>
      <c r="K31" s="44">
        <f>VLOOKUP(J31,'DP Settings'!E14:L37,3,FALSE)/1000</f>
        <v>7.0609999999999999</v>
      </c>
      <c r="L31" s="44">
        <f t="shared" si="1"/>
        <v>6.8999999999999995</v>
      </c>
      <c r="M31" s="5">
        <f>ROUNDUP(VLOOKUP(J31,'DP Settings'!E2:L25,8,FALSE)*(('DP Settings'!C73^2)/2)*((J13-SIN(J13))*1000),0)/1000</f>
        <v>2.0609999999999999</v>
      </c>
      <c r="N31" s="44">
        <f t="shared" si="2"/>
        <v>5</v>
      </c>
    </row>
    <row r="32" spans="2:14" x14ac:dyDescent="0.25">
      <c r="B32" s="5" t="str">
        <f>IF(G32&lt;C3,"TANK TOO SMALL", "TANK OKAY ==&gt;")</f>
        <v>TANK OKAY ==&gt;</v>
      </c>
      <c r="C32" s="5">
        <f>'DP Settings'!E15</f>
        <v>7.5</v>
      </c>
      <c r="D32" s="44">
        <f>VLOOKUP(C32,'DP Settings'!E2:L25,3,FALSE)/1000</f>
        <v>7.5469999999999997</v>
      </c>
      <c r="E32" s="44">
        <f>VLOOKUP(C32,'DP Settings'!E2:L25,4,FALSE)</f>
        <v>7.35</v>
      </c>
      <c r="F32" s="44">
        <f>ROUNDUP(VLOOKUP(C32,'DP Settings'!E2:L25,8,FALSE)*(('DP Settings'!C73^2)/2)*((C13-SIN(C13))*1000),0)/1000</f>
        <v>0.82699999999999996</v>
      </c>
      <c r="G32" s="44">
        <f t="shared" si="3"/>
        <v>6.72</v>
      </c>
      <c r="H32" s="103"/>
      <c r="I32" s="5" t="str">
        <f>IF(N32&lt;J9,"TANK TOO SMALL", "TANK OKAY ==&gt;")</f>
        <v>TANK OKAY ==&gt;</v>
      </c>
      <c r="J32" s="5">
        <f>'DP Settings'!E15</f>
        <v>7.5</v>
      </c>
      <c r="K32" s="44">
        <f>VLOOKUP(J32,'DP Settings'!E15:L38,3,FALSE)/1000</f>
        <v>7.5469999999999997</v>
      </c>
      <c r="L32" s="44">
        <f t="shared" si="1"/>
        <v>7.35</v>
      </c>
      <c r="M32" s="5">
        <f>ROUNDUP(VLOOKUP(J32,'DP Settings'!E2:L25,8,FALSE)*(('DP Settings'!C73^2)/2)*((J13-SIN(J13))*1000),0)/1000</f>
        <v>2.2029999999999998</v>
      </c>
      <c r="N32" s="44">
        <f t="shared" si="2"/>
        <v>5.3439999999999994</v>
      </c>
    </row>
    <row r="33" spans="2:14" x14ac:dyDescent="0.25">
      <c r="B33" s="73" t="str">
        <f>IF(G33&lt;C3,"TANK TOO SMALL", "TANK OKAY ==&gt;")</f>
        <v>TANK OKAY ==&gt;</v>
      </c>
      <c r="C33" s="5">
        <f>'DP Settings'!E16</f>
        <v>8</v>
      </c>
      <c r="D33" s="44">
        <f>VLOOKUP(C33,'DP Settings'!E2:L25,3,FALSE)/1000</f>
        <v>8.0869999999999997</v>
      </c>
      <c r="E33" s="44">
        <f>VLOOKUP(C33,'DP Settings'!E2:L25,4,FALSE)</f>
        <v>7.85</v>
      </c>
      <c r="F33" s="44">
        <f>ROUNDUP(VLOOKUP(C33,'DP Settings'!E2:L25,8,FALSE)*(('DP Settings'!C73^2)/2)*((C13-SIN(C13))*1000),0)/1000</f>
        <v>0.88600000000000001</v>
      </c>
      <c r="G33" s="44">
        <f t="shared" si="3"/>
        <v>7.2009999999999996</v>
      </c>
      <c r="H33" s="103"/>
      <c r="I33" s="73" t="str">
        <f>IF(N33&lt;J9,"TANK TOO SMALL", "TANK OKAY ==&gt;")</f>
        <v>TANK OKAY ==&gt;</v>
      </c>
      <c r="J33" s="5">
        <f>'DP Settings'!E16</f>
        <v>8</v>
      </c>
      <c r="K33" s="44">
        <f>VLOOKUP(J33,'DP Settings'!E16:L39,3,FALSE)/1000</f>
        <v>8.0869999999999997</v>
      </c>
      <c r="L33" s="44">
        <f t="shared" si="1"/>
        <v>7.85</v>
      </c>
      <c r="M33" s="5">
        <f>ROUNDUP(VLOOKUP(J33,'DP Settings'!E2:L25,8,FALSE)*(('DP Settings'!C73^2)/2)*((J13-SIN(J13))*1000),0)/1000</f>
        <v>2.36</v>
      </c>
      <c r="N33" s="44">
        <f t="shared" si="2"/>
        <v>5.7270000000000003</v>
      </c>
    </row>
    <row r="34" spans="2:14" x14ac:dyDescent="0.25">
      <c r="B34" s="73" t="str">
        <f>IF(G34&lt;C3,"TANK TOO SMALL", "TANK OKAY ==&gt;")</f>
        <v>TANK OKAY ==&gt;</v>
      </c>
      <c r="C34" s="5">
        <f>'DP Settings'!E17</f>
        <v>8.5</v>
      </c>
      <c r="D34" s="44">
        <f>VLOOKUP(C34,'DP Settings'!E2:L25,3,FALSE)/1000</f>
        <v>8.5730000000000004</v>
      </c>
      <c r="E34" s="44">
        <f>VLOOKUP(C34,'DP Settings'!E2:L25,4,FALSE)</f>
        <v>8.3000000000000007</v>
      </c>
      <c r="F34" s="44">
        <f>ROUNDUP(VLOOKUP(C34,'DP Settings'!E2:L25,8,FALSE)*(('DP Settings'!C73^2)/2)*((C13-SIN(C13))*1000),0)/1000</f>
        <v>0.94</v>
      </c>
      <c r="G34" s="44">
        <f t="shared" si="3"/>
        <v>7.6330000000000009</v>
      </c>
      <c r="H34" s="103"/>
      <c r="I34" s="73" t="str">
        <f>IF(N34&lt;J9,"TANK TOO SMALL", "TANK OKAY ==&gt;")</f>
        <v>TANK OKAY ==&gt;</v>
      </c>
      <c r="J34" s="5">
        <f>'DP Settings'!E17</f>
        <v>8.5</v>
      </c>
      <c r="K34" s="44">
        <f>VLOOKUP(J34,'DP Settings'!E17:L40,3,FALSE)/1000</f>
        <v>8.5730000000000004</v>
      </c>
      <c r="L34" s="44">
        <f t="shared" si="1"/>
        <v>8.3000000000000007</v>
      </c>
      <c r="M34" s="5">
        <f>ROUNDUP(VLOOKUP(J34,'DP Settings'!E2:L25,8,FALSE)*(('DP Settings'!C73^2)/2)*((J13-SIN(J13))*1000),0)/1000</f>
        <v>2.5019999999999998</v>
      </c>
      <c r="N34" s="44">
        <f t="shared" si="2"/>
        <v>6.0710000000000006</v>
      </c>
    </row>
    <row r="35" spans="2:14" x14ac:dyDescent="0.25">
      <c r="B35" s="73" t="str">
        <f>IF(G35&lt;C3,"TANK TOO SMALL", "TANK OKAY ==&gt;")</f>
        <v>TANK OKAY ==&gt;</v>
      </c>
      <c r="C35" s="5">
        <f>'DP Settings'!E18</f>
        <v>9</v>
      </c>
      <c r="D35" s="44">
        <f>VLOOKUP(C35,'DP Settings'!E2:L25,3,FALSE)/1000</f>
        <v>9.0589999999999993</v>
      </c>
      <c r="E35" s="44">
        <f>VLOOKUP(C35,'DP Settings'!E2:L25,4,FALSE)</f>
        <v>8.75</v>
      </c>
      <c r="F35" s="44">
        <f>ROUNDUP(VLOOKUP(C35,'DP Settings'!E2:L25,8,FALSE)*(('DP Settings'!C73^2)/2)*((C13-SIN(C13))*1000),0)/1000</f>
        <v>0.99299999999999999</v>
      </c>
      <c r="G35" s="44">
        <f t="shared" si="3"/>
        <v>8.0659999999999989</v>
      </c>
      <c r="H35" s="103"/>
      <c r="I35" s="73" t="str">
        <f>IF(N35&lt;J9,"TANK TOO SMALL", "TANK OKAY ==&gt;")</f>
        <v>TANK OKAY ==&gt;</v>
      </c>
      <c r="J35" s="5">
        <f>'DP Settings'!E18</f>
        <v>9</v>
      </c>
      <c r="K35" s="44">
        <f>VLOOKUP(J35,'DP Settings'!E18:L41,3,FALSE)/1000</f>
        <v>9.0589999999999993</v>
      </c>
      <c r="L35" s="44">
        <f t="shared" si="1"/>
        <v>8.75</v>
      </c>
      <c r="M35" s="5">
        <f>ROUNDUP(VLOOKUP(J35,'DP Settings'!E2:L25,8,FALSE)*(('DP Settings'!C73^2)/2)*((J13-SIN(J13))*1000),0)/1000</f>
        <v>2.6440000000000001</v>
      </c>
      <c r="N35" s="44">
        <f t="shared" si="2"/>
        <v>6.4149999999999991</v>
      </c>
    </row>
    <row r="36" spans="2:14" x14ac:dyDescent="0.25">
      <c r="B36" s="5" t="str">
        <f>IF(G36&lt;C3,"TANK TOO SMALL", "TANK OKAY ==&gt;")</f>
        <v>TANK OKAY ==&gt;</v>
      </c>
      <c r="C36" s="5">
        <f>'DP Settings'!E19</f>
        <v>9.5</v>
      </c>
      <c r="D36" s="44">
        <f>VLOOKUP(C36,'DP Settings'!E2:L25,3,FALSE)/1000</f>
        <v>9.5449999999999999</v>
      </c>
      <c r="E36" s="44">
        <f>VLOOKUP(C36,'DP Settings'!E2:L25,4,FALSE)</f>
        <v>9.1999999999999993</v>
      </c>
      <c r="F36" s="44">
        <f>ROUNDUP(VLOOKUP(C36,'DP Settings'!E2:L25,8,FALSE)*(('DP Settings'!C73^2)/2)*((C13-SIN(C13))*1000),0)/1000</f>
        <v>1.046</v>
      </c>
      <c r="G36" s="44">
        <f t="shared" si="3"/>
        <v>8.4990000000000006</v>
      </c>
      <c r="H36" s="103"/>
      <c r="I36" s="5" t="str">
        <f>IF(N36&lt;J9,"TANK TOO SMALL", "TANK OKAY ==&gt;")</f>
        <v>TANK OKAY ==&gt;</v>
      </c>
      <c r="J36" s="5">
        <f>'DP Settings'!E19</f>
        <v>9.5</v>
      </c>
      <c r="K36" s="44">
        <f>VLOOKUP(J36,'DP Settings'!E19:L42,3,FALSE)/1000</f>
        <v>9.5449999999999999</v>
      </c>
      <c r="L36" s="44">
        <f t="shared" si="1"/>
        <v>9.1999999999999993</v>
      </c>
      <c r="M36" s="5">
        <f>ROUNDUP(VLOOKUP(J36,'DP Settings'!E2:L25,8,FALSE)*(('DP Settings'!C73^2)/2)*((J13-SIN(J13))*1000),0)/1000</f>
        <v>2.786</v>
      </c>
      <c r="N36" s="44">
        <f t="shared" si="2"/>
        <v>6.7590000000000003</v>
      </c>
    </row>
    <row r="37" spans="2:14" x14ac:dyDescent="0.25">
      <c r="B37" s="5" t="str">
        <f>IF(G37&lt;C3,"TANK TOO SMALL", "TANK OKAY ==&gt;")</f>
        <v>TANK OKAY ==&gt;</v>
      </c>
      <c r="C37" s="5">
        <f>'DP Settings'!E20</f>
        <v>10</v>
      </c>
      <c r="D37" s="44">
        <f>VLOOKUP(C37,'DP Settings'!E2:L25,3,FALSE)/1000</f>
        <v>10.031000000000001</v>
      </c>
      <c r="E37" s="44">
        <f>VLOOKUP(C37,'DP Settings'!E2:L25,4,FALSE)</f>
        <v>9.65</v>
      </c>
      <c r="F37" s="44">
        <f>ROUNDUP(VLOOKUP(C37,'DP Settings'!E2:L25,8,FALSE)*(('DP Settings'!C73^2)/2)*((C13-SIN(C13))*1000),0)/1000</f>
        <v>1.099</v>
      </c>
      <c r="G37" s="44">
        <f t="shared" si="3"/>
        <v>8.9320000000000004</v>
      </c>
      <c r="H37" s="103"/>
      <c r="I37" s="5" t="str">
        <f>IF(N37&lt;J9,"TANK TOO SMALL", "TANK OKAY ==&gt;")</f>
        <v>TANK OKAY ==&gt;</v>
      </c>
      <c r="J37" s="5">
        <f>'DP Settings'!E20</f>
        <v>10</v>
      </c>
      <c r="K37" s="44">
        <f>VLOOKUP(J37,'DP Settings'!E20:L43,3,FALSE)/1000</f>
        <v>10.031000000000001</v>
      </c>
      <c r="L37" s="44">
        <f t="shared" si="1"/>
        <v>9.65</v>
      </c>
      <c r="M37" s="5">
        <f>ROUNDUP(VLOOKUP(J37,'DP Settings'!E2:L25,8,FALSE)*(('DP Settings'!C73^2)/2)*((J13-SIN(J13))*1000),0)/1000</f>
        <v>2.927</v>
      </c>
      <c r="N37" s="44">
        <f t="shared" si="2"/>
        <v>7.104000000000001</v>
      </c>
    </row>
    <row r="38" spans="2:14" x14ac:dyDescent="0.25">
      <c r="B38" s="5" t="str">
        <f>IF(G38&lt;C3,"TANK TOO SMALL", "TANK OKAY ==&gt;")</f>
        <v>TANK OKAY ==&gt;</v>
      </c>
      <c r="C38" s="5">
        <f>'DP Settings'!E21</f>
        <v>10.5</v>
      </c>
      <c r="D38" s="44">
        <f>VLOOKUP(C38,'DP Settings'!E2:L25,3,FALSE)/1000</f>
        <v>10.516999999999999</v>
      </c>
      <c r="E38" s="44">
        <f>VLOOKUP(C38,'DP Settings'!E2:L25,4,FALSE)</f>
        <v>10.100000000000001</v>
      </c>
      <c r="F38" s="44">
        <f>ROUNDUP(VLOOKUP(C38,'DP Settings'!E2:L25,8,FALSE)*(('DP Settings'!C73^2)/2)*((C13-SIN(C13))*1000),0)/1000</f>
        <v>1.153</v>
      </c>
      <c r="G38" s="44">
        <f t="shared" si="3"/>
        <v>9.363999999999999</v>
      </c>
      <c r="H38" s="103"/>
      <c r="I38" s="5" t="str">
        <f>IF(N38&lt;J9,"TANK TOO SMALL", "TANK OKAY ==&gt;")</f>
        <v>TANK OKAY ==&gt;</v>
      </c>
      <c r="J38" s="5">
        <f>'DP Settings'!E21</f>
        <v>10.5</v>
      </c>
      <c r="K38" s="44">
        <f>VLOOKUP(J38,'DP Settings'!E21:L44,3,FALSE)/1000</f>
        <v>10.516999999999999</v>
      </c>
      <c r="L38" s="44">
        <f t="shared" si="1"/>
        <v>10.100000000000001</v>
      </c>
      <c r="M38" s="5">
        <f>ROUNDUP(VLOOKUP(J38,'DP Settings'!E2:L25,8,FALSE)*(('DP Settings'!C73^2)/2)*((J13-SIN(J13))*1000),0)/1000</f>
        <v>3.069</v>
      </c>
      <c r="N38" s="44">
        <f t="shared" si="2"/>
        <v>7.4479999999999995</v>
      </c>
    </row>
    <row r="39" spans="2:14" x14ac:dyDescent="0.25">
      <c r="B39" s="5" t="str">
        <f>IF(G39&lt;C3,"TANK TOO SMALL", "TANK OKAY ==&gt;")</f>
        <v>TANK OKAY ==&gt;</v>
      </c>
      <c r="C39" s="5">
        <f>'DP Settings'!E22</f>
        <v>11</v>
      </c>
      <c r="D39" s="44">
        <f>VLOOKUP(C39,'DP Settings'!E2:L25,3,FALSE)/1000</f>
        <v>11.003</v>
      </c>
      <c r="E39" s="44">
        <f>VLOOKUP(C39,'DP Settings'!E2:L25,4,FALSE)</f>
        <v>10.55</v>
      </c>
      <c r="F39" s="44">
        <f>ROUNDUP(VLOOKUP(C39,'DP Settings'!E2:L25,8,FALSE)*(('DP Settings'!C73^2)/2)*((C13-SIN(C13))*1000),0)/1000</f>
        <v>1.206</v>
      </c>
      <c r="G39" s="44">
        <f t="shared" si="3"/>
        <v>9.7970000000000006</v>
      </c>
      <c r="H39" s="103"/>
      <c r="I39" s="5" t="str">
        <f>IF(N39&lt;J9,"TANK TOO SMALL", "TANK OKAY ==&gt;")</f>
        <v>TANK OKAY ==&gt;</v>
      </c>
      <c r="J39" s="5">
        <f>'DP Settings'!E22</f>
        <v>11</v>
      </c>
      <c r="K39" s="44">
        <f>VLOOKUP(J39,'DP Settings'!E22:L45,3,FALSE)/1000</f>
        <v>11.003</v>
      </c>
      <c r="L39" s="44">
        <f t="shared" si="1"/>
        <v>10.55</v>
      </c>
      <c r="M39" s="5">
        <f>ROUNDUP(VLOOKUP(J39,'DP Settings'!E2:L25,8,FALSE)*(('DP Settings'!C73^2)/2)*((J13-SIN(J13))*1000),0)/1000</f>
        <v>3.2109999999999999</v>
      </c>
      <c r="N39" s="44">
        <f t="shared" si="2"/>
        <v>7.7919999999999998</v>
      </c>
    </row>
    <row r="40" spans="2:14" x14ac:dyDescent="0.25">
      <c r="B40" s="5" t="str">
        <f>IF(G40&lt;C3,"TANK TOO SMALL", "TANK OKAY ==&gt;")</f>
        <v>TANK OKAY ==&gt;</v>
      </c>
      <c r="C40" s="5">
        <f>'DP Settings'!E23</f>
        <v>11.5</v>
      </c>
      <c r="D40" s="44">
        <f>VLOOKUP(C40,'DP Settings'!E2:L25,3,FALSE)/1000</f>
        <v>11.542999999999999</v>
      </c>
      <c r="E40" s="44">
        <f>VLOOKUP(C40,'DP Settings'!E2:L25,4,FALSE)</f>
        <v>11.05</v>
      </c>
      <c r="F40" s="44">
        <f>ROUNDUP(VLOOKUP(C40,'DP Settings'!E2:L25,8,FALSE)*(('DP Settings'!C73^2)/2)*((C13-SIN(C13))*1000),0)/1000</f>
        <v>1.2649999999999999</v>
      </c>
      <c r="G40" s="44">
        <f t="shared" si="3"/>
        <v>10.277999999999999</v>
      </c>
      <c r="H40" s="103"/>
      <c r="I40" s="5" t="str">
        <f>IF(N40&lt;J9,"TANK TOO SMALL", "TANK OKAY ==&gt;")</f>
        <v>TANK OKAY ==&gt;</v>
      </c>
      <c r="J40" s="5">
        <f>'DP Settings'!E23</f>
        <v>11.5</v>
      </c>
      <c r="K40" s="44">
        <f>VLOOKUP(J40,'DP Settings'!E23:L46,3,FALSE)/1000</f>
        <v>11.542999999999999</v>
      </c>
      <c r="L40" s="44">
        <f t="shared" si="1"/>
        <v>11.05</v>
      </c>
      <c r="M40" s="5">
        <f>ROUNDUP(VLOOKUP(J40,'DP Settings'!E2:L25,8,FALSE)*(('DP Settings'!C73^2)/2)*((J13-SIN(J13))*1000),0)/1000</f>
        <v>3.3690000000000002</v>
      </c>
      <c r="N40" s="44">
        <f t="shared" si="2"/>
        <v>8.1739999999999995</v>
      </c>
    </row>
    <row r="41" spans="2:14" x14ac:dyDescent="0.25">
      <c r="B41" s="5" t="str">
        <f>IF(G41&lt;C3,"TANK TOO SMALL", "TANK OKAY ==&gt;")</f>
        <v>TANK OKAY ==&gt;</v>
      </c>
      <c r="C41" s="5">
        <f>'DP Settings'!E24</f>
        <v>12</v>
      </c>
      <c r="D41" s="44">
        <f>VLOOKUP(C41,'DP Settings'!E2:L25,3,FALSE)/1000</f>
        <v>12.083</v>
      </c>
      <c r="E41" s="44">
        <f>VLOOKUP(C41,'DP Settings'!E2:L25,4,FALSE)</f>
        <v>11.55</v>
      </c>
      <c r="F41" s="44">
        <f>ROUNDUP(VLOOKUP(C41,'DP Settings'!E2:L25,8,FALSE)*(('DP Settings'!C73^2)/2)*((C13-SIN(C13))*1000),0)/1000</f>
        <v>1.3240000000000001</v>
      </c>
      <c r="G41" s="44">
        <f t="shared" si="3"/>
        <v>10.759</v>
      </c>
      <c r="H41" s="103"/>
      <c r="I41" s="5" t="str">
        <f>IF(N41&lt;J9,"TANK TOO SMALL", "TANK OKAY ==&gt;")</f>
        <v>TANK OKAY ==&gt;</v>
      </c>
      <c r="J41" s="5">
        <f>'DP Settings'!E24</f>
        <v>12</v>
      </c>
      <c r="K41" s="44">
        <f>VLOOKUP(J41,'DP Settings'!E24:L47,3,FALSE)/1000</f>
        <v>12.083</v>
      </c>
      <c r="L41" s="44">
        <f t="shared" si="1"/>
        <v>11.55</v>
      </c>
      <c r="M41" s="5">
        <f>ROUNDUP(VLOOKUP(J41,'DP Settings'!E2:L25,8,FALSE)*(('DP Settings'!C73^2)/2)*((J13-SIN(J13))*1000),0)/1000</f>
        <v>3.5259999999999998</v>
      </c>
      <c r="N41" s="44">
        <f t="shared" si="2"/>
        <v>8.5570000000000004</v>
      </c>
    </row>
    <row r="42" spans="2:14" x14ac:dyDescent="0.25">
      <c r="B42" s="5" t="str">
        <f>IF(G42&lt;C3,"TANK TOO SMALL", "TANK OKAY ==&gt;")</f>
        <v>TANK OKAY ==&gt;</v>
      </c>
      <c r="C42" s="5">
        <f>'DP Settings'!E25</f>
        <v>12.5</v>
      </c>
      <c r="D42" s="44">
        <f>VLOOKUP(C42,'DP Settings'!E2:L25,3,FALSE)/1000</f>
        <v>12.515000000000001</v>
      </c>
      <c r="E42" s="44">
        <f>VLOOKUP(C42,'DP Settings'!E2:L25,4,FALSE)</f>
        <v>11.950000000000001</v>
      </c>
      <c r="F42" s="44">
        <f>ROUNDUP(VLOOKUP(C42,'DP Settings'!E2:L25,8,FALSE)*(('DP Settings'!C73^2)/2)*((C13-SIN(C13))*1000),0)/1000</f>
        <v>1.3720000000000001</v>
      </c>
      <c r="G42" s="44">
        <f t="shared" si="3"/>
        <v>11.143000000000001</v>
      </c>
      <c r="H42" s="103"/>
      <c r="I42" s="5" t="str">
        <f>IF(N42&lt;J9,"TANK TOO SMALL", "TANK OKAY ==&gt;")</f>
        <v>TANK OKAY ==&gt;</v>
      </c>
      <c r="J42" s="5">
        <f>'DP Settings'!E25</f>
        <v>12.5</v>
      </c>
      <c r="K42" s="44">
        <f>VLOOKUP(J42,'DP Settings'!E25:L48,3,FALSE)/1000</f>
        <v>12.515000000000001</v>
      </c>
      <c r="L42" s="44">
        <f t="shared" si="1"/>
        <v>11.950000000000001</v>
      </c>
      <c r="M42" s="5">
        <f>ROUNDUP(VLOOKUP(J42,'DP Settings'!E2:L25,8,FALSE)*(('DP Settings'!C73^2)/2)*((J13-SIN(J13))*1000),0)/1000</f>
        <v>3.6520000000000001</v>
      </c>
      <c r="N42" s="44">
        <f t="shared" si="2"/>
        <v>8.8629999999999995</v>
      </c>
    </row>
  </sheetData>
  <sheetProtection algorithmName="SHA-512" hashValue="dEIVpiRHbw/7ihRmXRpWIHsXia7ke3DmUaWCCdDzsIruZmayMrXM3e5hNDQqy2wmuKb1jyuE+0KBhUpZXy1KJQ==" saltValue="CHFf0loTwJhL621vaP0EGA==" spinCount="100000" sheet="1" objects="1" scenarios="1"/>
  <mergeCells count="2">
    <mergeCell ref="I1:O1"/>
    <mergeCell ref="A1:G1"/>
  </mergeCells>
  <conditionalFormatting sqref="B19:B42">
    <cfRule type="containsText" dxfId="7" priority="5" operator="containsText" text="OKAY">
      <formula>NOT(ISERROR(SEARCH("OKAY",B19)))</formula>
    </cfRule>
    <cfRule type="containsText" dxfId="6" priority="6" operator="containsText" text="SMALL">
      <formula>NOT(ISERROR(SEARCH("SMALL",B19)))</formula>
    </cfRule>
  </conditionalFormatting>
  <conditionalFormatting sqref="G19:G42">
    <cfRule type="cellIs" dxfId="5" priority="7" operator="lessThan">
      <formula>$C$3</formula>
    </cfRule>
    <cfRule type="cellIs" dxfId="4" priority="8" operator="greaterThanOrEqual">
      <formula>$C$3</formula>
    </cfRule>
  </conditionalFormatting>
  <conditionalFormatting sqref="I19:I42">
    <cfRule type="containsText" dxfId="3" priority="3" operator="containsText" text="OKAY">
      <formula>NOT(ISERROR(SEARCH("OKAY",I19)))</formula>
    </cfRule>
    <cfRule type="containsText" dxfId="2" priority="4" operator="containsText" text="SMALL">
      <formula>NOT(ISERROR(SEARCH("SMALL",I19)))</formula>
    </cfRule>
  </conditionalFormatting>
  <conditionalFormatting sqref="N19:N42">
    <cfRule type="cellIs" dxfId="1" priority="1" operator="lessThan">
      <formula>$J$9</formula>
    </cfRule>
    <cfRule type="cellIs" dxfId="0" priority="2" operator="greaterThanOrEqual">
      <formula>$J$9</formula>
    </cfRule>
  </conditionalFormatting>
  <dataValidations count="1">
    <dataValidation type="decimal" allowBlank="1" showInputMessage="1" showErrorMessage="1" sqref="J6 C6" xr:uid="{6EED4CE0-689B-4506-856A-BD776BAB4964}">
      <formula1>0</formula1>
      <formula2>1.199</formula2>
    </dataValidation>
  </dataValidations>
  <hyperlinks>
    <hyperlink ref="A2" location="Tank_Matching" display="Menu" xr:uid="{EC75C372-9C2A-44F9-9155-7A84A2E800DD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w F N U V + c 4 F 0 a j A A A A 9 g A A A B I A H A B D b 2 5 m a W c v U G F j a 2 F n Z S 5 4 b W w g o h g A K K A U A A A A A A A A A A A A A A A A A A A A A A A A A A A A h Y + x D o I w G I R f h X S n L X U x 5 K c O r p K Y E I 1 r U y o 0 w o + h x f J u D j 6 S r y B G U T f H u / s u u b t f b 7 A a 2 y a 6 m N 7 Z D j O S U E 4 i g 7 o r L V Y Z G f w x X p K V h K 3 S J 1 W Z a I L R p a O z G a m 9 P 6 e M h R B o W N C u r 5 j g P G G H f F P o 2 r Q q t u i 8 Q m 3 I p 1 X + b x E J + 9 c Y K W g i E i q 4 o B z Y b E J u 8 Q t M O X + m P y a s h 8 Y P v Z E G 4 1 0 B b J b A 3 h / k A 1 B L A w Q U A A I A C A D A U 1 R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F N U V y i K R 7 g O A A A A E Q A A A B M A H A B G b 3 J t d W x h c y 9 T Z W N 0 a W 9 u M S 5 t I K I Y A C i g F A A A A A A A A A A A A A A A A A A A A A A A A A A A A C t O T S 7 J z M 9 T C I b Q h t Y A U E s B A i 0 A F A A C A A g A w F N U V + c 4 F 0 a j A A A A 9 g A A A B I A A A A A A A A A A A A A A A A A A A A A A E N v b m Z p Z y 9 Q Y W N r Y W d l L n h t b F B L A Q I t A B Q A A g A I A M B T V F c P y u m r p A A A A O k A A A A T A A A A A A A A A A A A A A A A A O 8 A A A B b Q 2 9 u d G V u d F 9 U e X B l c 1 0 u e G 1 s U E s B A i 0 A F A A C A A g A w F N U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E 8 F s U B p + K t H m 7 u Z Z 1 I 4 x u c A A A A A A g A A A A A A A 2 Y A A M A A A A A Q A A A A t 8 c a v G e U e c a E 5 y f d l C 8 P u w A A A A A E g A A A o A A A A B A A A A C V z a u 2 u V A q L W W o r b 6 c x + g U U A A A A P + 6 L p O j a k F G a 9 f n + 6 J w V j 1 Z X u I 5 Y E T n S E b C E D u d b a G M 5 K j f g O F B / x d F B v m 3 g T 7 Q r r 6 + r 2 w y / f I q T z D v X Z i W b h H t E p h X + H o M E v g e M r e N J 2 C k F A A A A J / R 8 / S L i v w T X D g c E x / p 3 X Q V z 8 2 o < / D a t a M a s h u p > 
</file>

<file path=customXml/itemProps1.xml><?xml version="1.0" encoding="utf-8"?>
<ds:datastoreItem xmlns:ds="http://schemas.openxmlformats.org/officeDocument/2006/customXml" ds:itemID="{4C26AFD2-3E46-4438-B327-D964A92D0EB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Main Menu</vt:lpstr>
      <vt:lpstr>Sizes &amp; Dimensions</vt:lpstr>
      <vt:lpstr>Sections &amp; Orifice</vt:lpstr>
      <vt:lpstr>DP Settings</vt:lpstr>
      <vt:lpstr>Tank set out lookup</vt:lpstr>
      <vt:lpstr>Tank Matching</vt:lpstr>
      <vt:lpstr>Tank_Matching</vt:lpstr>
      <vt:lpstr>Tank_Sections_and_Orifice_Calculation</vt:lpstr>
      <vt:lpstr>Tank_Set_out_lookup</vt:lpstr>
      <vt:lpstr>Tank_Sizes__Dimensions___Buoyancy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Ruddell</dc:creator>
  <cp:lastModifiedBy>Tia Marshall</cp:lastModifiedBy>
  <cp:lastPrinted>2024-02-11T20:41:11Z</cp:lastPrinted>
  <dcterms:created xsi:type="dcterms:W3CDTF">2015-06-05T18:17:20Z</dcterms:created>
  <dcterms:modified xsi:type="dcterms:W3CDTF">2025-03-09T20:42:38Z</dcterms:modified>
</cp:coreProperties>
</file>